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zspn\Desktop\"/>
    </mc:Choice>
  </mc:AlternateContent>
  <bookViews>
    <workbookView xWindow="-120" yWindow="-120" windowWidth="24240" windowHeight="13140" tabRatio="854" firstSheet="2" activeTab="16"/>
  </bookViews>
  <sheets>
    <sheet name="Курсы валют" sheetId="1" r:id="rId1"/>
    <sheet name="ДЭМКОМ" sheetId="20" r:id="rId2"/>
    <sheet name="BEL" sheetId="23" r:id="rId3"/>
    <sheet name="ACZET (Citizen)" sheetId="2" r:id="rId4"/>
    <sheet name="OHAUS" sheetId="12" r:id="rId5"/>
    <sheet name="ГОСМЕТР" sheetId="25" r:id="rId6"/>
    <sheet name="AND" sheetId="26" r:id="rId7"/>
    <sheet name="МАССА-К" sheetId="10" r:id="rId8"/>
    <sheet name="Shinko (ViBRA)" sheetId="4" r:id="rId9"/>
    <sheet name="CAS" sheetId="13" r:id="rId10"/>
    <sheet name="ADAM" sheetId="5" r:id="rId11"/>
    <sheet name="Acom" sheetId="6" r:id="rId12"/>
    <sheet name="SARTORIUS" sheetId="14" r:id="rId13"/>
    <sheet name="МАС-центр" sheetId="24" r:id="rId14"/>
    <sheet name="САРТОГОСМ" sheetId="9" r:id="rId15"/>
    <sheet name="ВЕСТА" sheetId="18" r:id="rId16"/>
    <sheet name="СКЕЙЛ" sheetId="15" r:id="rId17"/>
  </sheets>
  <externalReferences>
    <externalReference r:id="rId18"/>
    <externalReference r:id="rId19"/>
  </externalReferences>
  <definedNames>
    <definedName name="e" localSheetId="6">#REF!</definedName>
    <definedName name="e" localSheetId="5">#REF!</definedName>
    <definedName name="e" localSheetId="13">#REF!</definedName>
    <definedName name="e">#REF!</definedName>
    <definedName name="EUR" localSheetId="6">'[1]Курсы валют'!$B$3</definedName>
    <definedName name="EUR" localSheetId="15">'[1]Курсы валют'!$B$3</definedName>
    <definedName name="EUR" localSheetId="5">'[2]Курсы валют'!$B$3</definedName>
    <definedName name="EUR" localSheetId="13">'Курсы валют'!$B$3</definedName>
    <definedName name="EUR">'Курсы валют'!$B$3</definedName>
    <definedName name="USD" localSheetId="6">'[1]Курсы валют'!$B$4</definedName>
    <definedName name="USD" localSheetId="15">'[1]Курсы валют'!$B$4</definedName>
    <definedName name="USD" localSheetId="5">'[2]Курсы валют'!$B$4</definedName>
    <definedName name="USD" localSheetId="13">'Курсы валют'!$B$4</definedName>
    <definedName name="USD">'Курсы валют'!$B$4</definedName>
    <definedName name="USD_1" localSheetId="6">'[1]Курсы валют'!$B$7</definedName>
    <definedName name="USD_1" localSheetId="15">'[1]Курсы валют'!$B$7</definedName>
    <definedName name="USD_1" localSheetId="5">'[2]Курсы валют'!$B$7</definedName>
    <definedName name="USD_1">'Курсы валют'!#REF!</definedName>
    <definedName name="USD_2" localSheetId="6">'[1]Курсы валют'!$B$8</definedName>
    <definedName name="USD_2" localSheetId="2">'Курсы валют'!#REF!</definedName>
    <definedName name="USD_2" localSheetId="15">'[1]Курсы валют'!$B$8</definedName>
    <definedName name="USD_2" localSheetId="5">'[2]Курсы валют'!$B$8</definedName>
    <definedName name="USD_2" localSheetId="1">'Курсы валют'!#REF!</definedName>
    <definedName name="USD_2" localSheetId="13">'Курсы валют'!#REF!</definedName>
    <definedName name="USD_2">'Курсы валют'!#REF!</definedName>
    <definedName name="у">#REF!</definedName>
  </definedNames>
  <calcPr calcId="162913"/>
</workbook>
</file>

<file path=xl/calcChain.xml><?xml version="1.0" encoding="utf-8"?>
<calcChain xmlns="http://schemas.openxmlformats.org/spreadsheetml/2006/main">
  <c r="H112" i="4" l="1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7" i="23"/>
  <c r="H8" i="23"/>
  <c r="H9" i="23"/>
  <c r="H10" i="23"/>
  <c r="H11" i="23"/>
  <c r="H215" i="4" l="1"/>
  <c r="H214" i="4"/>
  <c r="H213" i="4"/>
  <c r="H212" i="4"/>
  <c r="H211" i="4"/>
  <c r="H210" i="4"/>
  <c r="H205" i="4"/>
  <c r="H202" i="4"/>
  <c r="H224" i="12" l="1"/>
  <c r="H223" i="12"/>
  <c r="H222" i="12"/>
  <c r="H221" i="12"/>
  <c r="H217" i="12"/>
  <c r="H216" i="12"/>
  <c r="H215" i="12"/>
  <c r="H214" i="12"/>
  <c r="H213" i="12"/>
  <c r="H204" i="12"/>
  <c r="H209" i="12"/>
  <c r="H208" i="12"/>
  <c r="H207" i="12"/>
  <c r="H206" i="12"/>
  <c r="H205" i="12"/>
  <c r="H203" i="12"/>
  <c r="H202" i="12"/>
  <c r="H201" i="12"/>
  <c r="H200" i="12"/>
  <c r="H199" i="12"/>
  <c r="H198" i="12"/>
  <c r="H194" i="12"/>
  <c r="H193" i="12"/>
  <c r="H192" i="12"/>
  <c r="H191" i="12"/>
  <c r="H190" i="12"/>
  <c r="H189" i="12"/>
  <c r="H188" i="12"/>
  <c r="H187" i="12"/>
  <c r="H186" i="12"/>
  <c r="H185" i="12"/>
  <c r="H184" i="12"/>
  <c r="H183" i="12"/>
  <c r="H176" i="12"/>
  <c r="H175" i="12"/>
  <c r="H179" i="12"/>
  <c r="H178" i="12"/>
  <c r="H177" i="12"/>
  <c r="H174" i="12"/>
  <c r="H173" i="12"/>
  <c r="H172" i="12"/>
  <c r="H171" i="12"/>
  <c r="H170" i="12"/>
  <c r="H169" i="12"/>
  <c r="H168" i="12"/>
  <c r="H161" i="12"/>
  <c r="H160" i="12"/>
  <c r="H159" i="12"/>
  <c r="H158" i="12"/>
  <c r="H157" i="12"/>
  <c r="H156" i="12"/>
  <c r="H155" i="12"/>
  <c r="H154" i="12"/>
  <c r="H153" i="12"/>
  <c r="H152" i="12"/>
  <c r="H162" i="12"/>
  <c r="H163" i="12"/>
  <c r="H164" i="12"/>
  <c r="H151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3" i="12"/>
  <c r="H112" i="12"/>
  <c r="H111" i="12"/>
  <c r="H110" i="12"/>
  <c r="H109" i="12"/>
  <c r="H105" i="12"/>
  <c r="H104" i="12"/>
  <c r="H103" i="12"/>
  <c r="H102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4" i="12"/>
  <c r="H73" i="12"/>
  <c r="H72" i="12"/>
  <c r="H71" i="12"/>
  <c r="H70" i="12"/>
  <c r="H69" i="12"/>
  <c r="H65" i="12"/>
  <c r="H64" i="12"/>
  <c r="H63" i="12"/>
  <c r="H57" i="12"/>
  <c r="H59" i="12"/>
  <c r="H58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0" i="12"/>
  <c r="H39" i="12"/>
  <c r="H38" i="12"/>
  <c r="H37" i="12"/>
  <c r="H33" i="12"/>
  <c r="H32" i="12"/>
  <c r="H31" i="12"/>
  <c r="H30" i="12"/>
  <c r="H7" i="12"/>
  <c r="H6" i="12"/>
  <c r="H5" i="12"/>
  <c r="H4" i="12"/>
  <c r="H3" i="12"/>
  <c r="H317" i="26" l="1"/>
  <c r="H318" i="26"/>
  <c r="H319" i="26"/>
  <c r="H320" i="26"/>
  <c r="H316" i="26"/>
  <c r="H51" i="26"/>
  <c r="H83" i="13" l="1"/>
  <c r="H84" i="13"/>
  <c r="H82" i="13"/>
  <c r="H120" i="13" l="1"/>
  <c r="H119" i="13"/>
  <c r="H116" i="13"/>
  <c r="H117" i="13"/>
  <c r="H118" i="13"/>
  <c r="H115" i="13"/>
  <c r="H112" i="13"/>
  <c r="H113" i="13"/>
  <c r="H114" i="13"/>
  <c r="H111" i="13"/>
  <c r="H110" i="13"/>
  <c r="H109" i="13"/>
  <c r="H105" i="13"/>
  <c r="H106" i="13"/>
  <c r="H107" i="13"/>
  <c r="H108" i="13"/>
  <c r="H45" i="23"/>
  <c r="H49" i="23"/>
  <c r="H48" i="23"/>
  <c r="H47" i="23"/>
  <c r="H46" i="23"/>
  <c r="H44" i="23"/>
  <c r="H26" i="23"/>
  <c r="H25" i="23"/>
  <c r="H24" i="23"/>
  <c r="H23" i="23"/>
  <c r="H22" i="23"/>
  <c r="H38" i="2" l="1"/>
  <c r="H37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8" i="2"/>
  <c r="H16" i="5" l="1"/>
  <c r="H15" i="5"/>
  <c r="H14" i="5"/>
  <c r="H12" i="2" l="1"/>
  <c r="H11" i="2"/>
  <c r="H10" i="2"/>
  <c r="H7" i="2"/>
  <c r="H6" i="2"/>
  <c r="H5" i="2"/>
  <c r="H4" i="2"/>
  <c r="H3" i="2"/>
  <c r="H3" i="4"/>
  <c r="H3" i="26" l="1"/>
  <c r="H52" i="26" l="1"/>
  <c r="H53" i="26"/>
  <c r="H54" i="26"/>
  <c r="H55" i="26"/>
  <c r="H19" i="26"/>
  <c r="H20" i="26"/>
  <c r="H21" i="26"/>
  <c r="H22" i="26"/>
  <c r="H23" i="26"/>
  <c r="H18" i="26"/>
  <c r="H11" i="26"/>
  <c r="H12" i="26"/>
  <c r="H13" i="26"/>
  <c r="H14" i="26"/>
  <c r="H10" i="26"/>
  <c r="H4" i="26"/>
  <c r="H5" i="26"/>
  <c r="H6" i="26"/>
  <c r="H42" i="23" l="1"/>
  <c r="H41" i="23"/>
  <c r="H40" i="23"/>
  <c r="H39" i="23"/>
  <c r="H38" i="23"/>
  <c r="H37" i="23"/>
  <c r="H35" i="23"/>
  <c r="H34" i="23"/>
  <c r="H33" i="23"/>
  <c r="H32" i="23"/>
  <c r="H31" i="23"/>
  <c r="H30" i="23"/>
  <c r="H36" i="23"/>
  <c r="H15" i="23"/>
  <c r="H20" i="23"/>
  <c r="H19" i="23"/>
  <c r="H18" i="23"/>
  <c r="H17" i="23"/>
  <c r="H16" i="23"/>
  <c r="H5" i="23"/>
  <c r="H4" i="23"/>
  <c r="H3" i="23"/>
  <c r="H143" i="4"/>
  <c r="H143" i="12" l="1"/>
  <c r="H142" i="12"/>
  <c r="H141" i="12"/>
  <c r="H140" i="12"/>
  <c r="H139" i="12"/>
  <c r="H29" i="12"/>
  <c r="H27" i="12"/>
  <c r="H28" i="12"/>
  <c r="H26" i="12"/>
  <c r="H25" i="12"/>
  <c r="H24" i="12"/>
  <c r="H23" i="12"/>
  <c r="H22" i="12"/>
  <c r="H21" i="12"/>
  <c r="H20" i="12"/>
  <c r="H16" i="12"/>
  <c r="H14" i="12"/>
  <c r="H12" i="12"/>
  <c r="H15" i="12"/>
  <c r="H13" i="12"/>
  <c r="H11" i="12"/>
  <c r="H147" i="12" l="1"/>
  <c r="H6" i="5" l="1"/>
  <c r="H166" i="4" l="1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338" i="13" l="1"/>
  <c r="H266" i="4" l="1"/>
  <c r="H265" i="4"/>
  <c r="H264" i="4"/>
  <c r="H263" i="4"/>
  <c r="H262" i="4"/>
  <c r="H259" i="4"/>
  <c r="H258" i="4"/>
  <c r="H257" i="4"/>
  <c r="H256" i="4"/>
  <c r="H253" i="4"/>
  <c r="H252" i="4"/>
  <c r="H251" i="4"/>
  <c r="H250" i="4"/>
  <c r="H249" i="4"/>
  <c r="H248" i="4"/>
  <c r="H247" i="4"/>
  <c r="H246" i="4"/>
  <c r="H242" i="4"/>
  <c r="H241" i="4"/>
  <c r="H240" i="4"/>
  <c r="H239" i="4"/>
  <c r="H238" i="4"/>
  <c r="H237" i="4"/>
  <c r="H235" i="4"/>
  <c r="H234" i="4"/>
  <c r="H232" i="4"/>
  <c r="H231" i="4"/>
  <c r="H230" i="4"/>
  <c r="H227" i="4"/>
  <c r="H226" i="4"/>
  <c r="H225" i="4"/>
  <c r="H224" i="4"/>
  <c r="H223" i="4"/>
  <c r="H222" i="4"/>
  <c r="H221" i="4"/>
  <c r="H220" i="4"/>
  <c r="H219" i="4"/>
  <c r="H195" i="4"/>
  <c r="H194" i="4"/>
  <c r="H193" i="4"/>
  <c r="H192" i="4"/>
  <c r="H187" i="4"/>
  <c r="H186" i="4"/>
  <c r="H185" i="4"/>
  <c r="H184" i="4"/>
  <c r="H183" i="4"/>
  <c r="H182" i="4"/>
  <c r="H181" i="4"/>
  <c r="H180" i="4"/>
  <c r="H179" i="4"/>
  <c r="H178" i="4"/>
  <c r="H174" i="4"/>
  <c r="H173" i="4"/>
  <c r="H171" i="4"/>
  <c r="H170" i="4"/>
  <c r="H169" i="4"/>
  <c r="H168" i="4"/>
  <c r="H167" i="4"/>
  <c r="H139" i="4"/>
  <c r="H138" i="4"/>
  <c r="H137" i="4"/>
  <c r="H136" i="4"/>
  <c r="H135" i="4"/>
  <c r="H134" i="4"/>
  <c r="H133" i="4"/>
  <c r="H132" i="4"/>
  <c r="H108" i="4"/>
  <c r="H107" i="4"/>
  <c r="H106" i="4"/>
  <c r="H105" i="4"/>
  <c r="H104" i="4"/>
  <c r="H103" i="4"/>
  <c r="H102" i="4"/>
  <c r="H101" i="4"/>
  <c r="H100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0" i="4"/>
  <c r="H69" i="4"/>
  <c r="H68" i="4"/>
  <c r="H67" i="4"/>
  <c r="H66" i="4"/>
  <c r="H61" i="4"/>
  <c r="H60" i="4"/>
  <c r="H59" i="4"/>
  <c r="H58" i="4"/>
  <c r="H54" i="4"/>
  <c r="H53" i="4"/>
  <c r="H52" i="4"/>
  <c r="H51" i="4"/>
  <c r="H50" i="4"/>
  <c r="H45" i="4"/>
  <c r="H44" i="4"/>
  <c r="H43" i="4"/>
  <c r="H42" i="4"/>
  <c r="H41" i="4"/>
  <c r="H40" i="4"/>
  <c r="H36" i="4"/>
  <c r="H35" i="4"/>
  <c r="H34" i="4"/>
  <c r="H33" i="4"/>
  <c r="H32" i="4"/>
  <c r="H27" i="4"/>
  <c r="H23" i="4"/>
  <c r="H22" i="4"/>
  <c r="H21" i="4"/>
  <c r="H20" i="4"/>
  <c r="H19" i="4"/>
  <c r="H14" i="4"/>
  <c r="H9" i="4"/>
  <c r="H8" i="4"/>
  <c r="H7" i="4"/>
  <c r="H6" i="4"/>
  <c r="H5" i="4"/>
  <c r="H344" i="13"/>
  <c r="H343" i="13"/>
  <c r="H342" i="13"/>
  <c r="H341" i="13"/>
  <c r="H340" i="13"/>
  <c r="H339" i="13"/>
  <c r="H337" i="13"/>
  <c r="H336" i="13"/>
  <c r="H335" i="13"/>
  <c r="H334" i="13"/>
  <c r="H333" i="13"/>
  <c r="H329" i="13"/>
  <c r="H328" i="13"/>
  <c r="H327" i="13"/>
  <c r="H326" i="13"/>
  <c r="H325" i="13"/>
  <c r="H321" i="13"/>
  <c r="H319" i="13"/>
  <c r="H318" i="13"/>
  <c r="H314" i="13"/>
  <c r="H313" i="13"/>
  <c r="H312" i="13"/>
  <c r="H311" i="13"/>
  <c r="H310" i="13"/>
  <c r="H308" i="13"/>
  <c r="H307" i="13"/>
  <c r="H300" i="13"/>
  <c r="H299" i="13"/>
  <c r="H298" i="13"/>
  <c r="H297" i="13"/>
  <c r="H296" i="13"/>
  <c r="H295" i="13"/>
  <c r="H294" i="13"/>
  <c r="H293" i="13"/>
  <c r="H292" i="13"/>
  <c r="H284" i="13"/>
  <c r="H283" i="13"/>
  <c r="H282" i="13"/>
  <c r="H281" i="13"/>
  <c r="H279" i="13"/>
  <c r="H280" i="13"/>
  <c r="H278" i="13"/>
  <c r="H276" i="13"/>
  <c r="H277" i="13"/>
  <c r="H275" i="13"/>
  <c r="H274" i="13"/>
  <c r="H270" i="13"/>
  <c r="H269" i="13"/>
  <c r="H268" i="13"/>
  <c r="H267" i="13"/>
  <c r="H266" i="13"/>
  <c r="H265" i="13"/>
  <c r="H264" i="13"/>
  <c r="H263" i="13"/>
  <c r="H262" i="13"/>
  <c r="H261" i="13"/>
  <c r="H257" i="13"/>
  <c r="H256" i="13"/>
  <c r="H255" i="13"/>
  <c r="H254" i="13"/>
  <c r="H253" i="13"/>
  <c r="H252" i="13"/>
  <c r="H248" i="13"/>
  <c r="H247" i="13"/>
  <c r="H246" i="13"/>
  <c r="H245" i="13"/>
  <c r="H244" i="13"/>
  <c r="H243" i="13"/>
  <c r="H237" i="13"/>
  <c r="H238" i="13"/>
  <c r="H239" i="13"/>
  <c r="H236" i="13"/>
  <c r="H232" i="13"/>
  <c r="H231" i="13"/>
  <c r="H230" i="13"/>
  <c r="H229" i="13"/>
  <c r="H228" i="13"/>
  <c r="H227" i="13"/>
  <c r="H226" i="13"/>
  <c r="H225" i="13"/>
  <c r="H221" i="13"/>
  <c r="H220" i="13"/>
  <c r="H216" i="13"/>
  <c r="H214" i="13"/>
  <c r="H215" i="13"/>
  <c r="H213" i="13"/>
  <c r="H209" i="13"/>
  <c r="H208" i="13"/>
  <c r="H207" i="13"/>
  <c r="H206" i="13"/>
  <c r="H202" i="13"/>
  <c r="H201" i="13"/>
  <c r="H200" i="13"/>
  <c r="H198" i="13"/>
  <c r="H199" i="13"/>
  <c r="H197" i="13"/>
  <c r="H192" i="13"/>
  <c r="H193" i="13"/>
  <c r="H191" i="13"/>
  <c r="H185" i="13"/>
  <c r="H186" i="13"/>
  <c r="H187" i="13"/>
  <c r="H184" i="13"/>
  <c r="H178" i="13"/>
  <c r="H179" i="13"/>
  <c r="H180" i="13"/>
  <c r="H177" i="13"/>
  <c r="H124" i="13"/>
  <c r="H123" i="13"/>
  <c r="H122" i="13"/>
  <c r="H154" i="13"/>
  <c r="H152" i="13"/>
  <c r="H151" i="13"/>
  <c r="H150" i="13"/>
  <c r="H149" i="13"/>
  <c r="H148" i="13"/>
  <c r="H145" i="13"/>
  <c r="H146" i="13"/>
  <c r="H147" i="13"/>
  <c r="H144" i="13"/>
  <c r="H141" i="13"/>
  <c r="H142" i="13"/>
  <c r="H143" i="13"/>
  <c r="H140" i="13"/>
  <c r="H101" i="13"/>
  <c r="H100" i="13"/>
  <c r="H99" i="13"/>
  <c r="H98" i="13"/>
  <c r="H97" i="13"/>
  <c r="H96" i="13"/>
  <c r="H95" i="13"/>
  <c r="H129" i="13"/>
  <c r="H130" i="13"/>
  <c r="H128" i="13"/>
  <c r="H89" i="13"/>
  <c r="H90" i="13"/>
  <c r="H91" i="13"/>
  <c r="H88" i="13"/>
  <c r="H78" i="13"/>
  <c r="H77" i="13"/>
  <c r="H73" i="13"/>
  <c r="H72" i="13"/>
  <c r="H71" i="13"/>
  <c r="H70" i="13"/>
  <c r="H69" i="13"/>
  <c r="H65" i="13"/>
  <c r="H64" i="13"/>
  <c r="H63" i="13"/>
  <c r="H62" i="13"/>
  <c r="H58" i="13"/>
  <c r="H53" i="13"/>
  <c r="H54" i="13"/>
  <c r="H55" i="13"/>
  <c r="H56" i="13"/>
  <c r="H52" i="13"/>
  <c r="H48" i="13"/>
  <c r="H46" i="13"/>
  <c r="H47" i="13"/>
  <c r="H45" i="13"/>
  <c r="H44" i="13"/>
  <c r="H43" i="13"/>
  <c r="H42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2" i="13"/>
  <c r="H11" i="13"/>
  <c r="H8" i="13"/>
  <c r="H10" i="13"/>
  <c r="H9" i="13"/>
  <c r="H7" i="13"/>
  <c r="H6" i="13"/>
  <c r="H5" i="13"/>
  <c r="H4" i="13"/>
  <c r="H3" i="13"/>
  <c r="H25" i="6"/>
  <c r="H26" i="6"/>
  <c r="H27" i="6"/>
  <c r="H24" i="6"/>
  <c r="H20" i="6"/>
  <c r="H16" i="6"/>
  <c r="H17" i="6"/>
  <c r="H18" i="6"/>
  <c r="H15" i="6"/>
  <c r="H10" i="6"/>
  <c r="H8" i="6"/>
  <c r="H7" i="6"/>
  <c r="H6" i="6"/>
  <c r="H5" i="6"/>
  <c r="H4" i="6"/>
  <c r="H3" i="6"/>
  <c r="H8" i="5"/>
  <c r="H5" i="5"/>
  <c r="H7" i="5"/>
  <c r="H9" i="5"/>
  <c r="H10" i="5"/>
  <c r="H4" i="5"/>
  <c r="H3" i="5"/>
  <c r="H260" i="4" l="1"/>
  <c r="H233" i="4"/>
  <c r="H288" i="13"/>
  <c r="H287" i="13"/>
  <c r="H286" i="13"/>
  <c r="H173" i="13"/>
  <c r="H172" i="13"/>
  <c r="H171" i="13"/>
  <c r="H168" i="13"/>
  <c r="H169" i="13"/>
  <c r="H167" i="13"/>
  <c r="H166" i="13"/>
  <c r="H165" i="13"/>
  <c r="H164" i="13"/>
  <c r="H163" i="13"/>
  <c r="H162" i="13"/>
  <c r="H161" i="13"/>
  <c r="H160" i="13"/>
  <c r="H155" i="13"/>
  <c r="H136" i="13"/>
  <c r="H135" i="13"/>
  <c r="H134" i="13"/>
  <c r="H11" i="6"/>
  <c r="H303" i="13"/>
  <c r="H302" i="13"/>
  <c r="H156" i="13"/>
</calcChain>
</file>

<file path=xl/comments1.xml><?xml version="1.0" encoding="utf-8"?>
<comments xmlns="http://schemas.openxmlformats.org/spreadsheetml/2006/main">
  <authors>
    <author>Denis</author>
  </authors>
  <commentList>
    <comment ref="D263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64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65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69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0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1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2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3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4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5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276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308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309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310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311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  <comment ref="D312" authorId="0" shapeId="0">
      <text>
        <r>
          <rPr>
            <b/>
            <sz val="9"/>
            <color indexed="81"/>
            <rFont val="Tahoma"/>
            <family val="2"/>
            <charset val="204"/>
          </rPr>
          <t>Дискретность можно выставлять самостоятельно в настройках.</t>
        </r>
      </text>
    </comment>
  </commentList>
</comments>
</file>

<file path=xl/sharedStrings.xml><?xml version="1.0" encoding="utf-8"?>
<sst xmlns="http://schemas.openxmlformats.org/spreadsheetml/2006/main" count="9376" uniqueCount="1996">
  <si>
    <t>USD - $</t>
  </si>
  <si>
    <t>руб.</t>
  </si>
  <si>
    <t>Модель</t>
  </si>
  <si>
    <t>CY-64</t>
  </si>
  <si>
    <t>CY-124</t>
  </si>
  <si>
    <t>CY-224</t>
  </si>
  <si>
    <t>CY-64C</t>
  </si>
  <si>
    <t>CY-124C</t>
  </si>
  <si>
    <t>CY-224C</t>
  </si>
  <si>
    <t>Класс точности</t>
  </si>
  <si>
    <t>Калибровка</t>
  </si>
  <si>
    <t>Размер платформы</t>
  </si>
  <si>
    <t>Дилерская скидка</t>
  </si>
  <si>
    <t>внешняя</t>
  </si>
  <si>
    <t>специальный (I)</t>
  </si>
  <si>
    <t>внутренняя</t>
  </si>
  <si>
    <t>Ø 90 мм</t>
  </si>
  <si>
    <t>Розничная цена, руб.</t>
  </si>
  <si>
    <t>Дилерская цена, руб.</t>
  </si>
  <si>
    <t>CY-513</t>
  </si>
  <si>
    <t>CY-723</t>
  </si>
  <si>
    <t>CY-1003</t>
  </si>
  <si>
    <t>CY-223C</t>
  </si>
  <si>
    <t>CY-323C</t>
  </si>
  <si>
    <t>CY-513C</t>
  </si>
  <si>
    <t>CY-1003C</t>
  </si>
  <si>
    <t>128×128 мм</t>
  </si>
  <si>
    <t>высокий (II)</t>
  </si>
  <si>
    <t>CY-3102</t>
  </si>
  <si>
    <t>CY-4102</t>
  </si>
  <si>
    <t>CY-6102</t>
  </si>
  <si>
    <t>CY-1202C</t>
  </si>
  <si>
    <t>CY-2202C</t>
  </si>
  <si>
    <t>CY-3102C</t>
  </si>
  <si>
    <t>CY-4102C</t>
  </si>
  <si>
    <t>CY-6102C</t>
  </si>
  <si>
    <t>198×205 мм</t>
  </si>
  <si>
    <t>CY-15K</t>
  </si>
  <si>
    <t>CY-20K</t>
  </si>
  <si>
    <t>CY-25K</t>
  </si>
  <si>
    <t>CY-31K</t>
  </si>
  <si>
    <t>CY-60K</t>
  </si>
  <si>
    <t>Наибольший предел взвешивания (НПВ)</t>
  </si>
  <si>
    <t>Цена деления (d)</t>
  </si>
  <si>
    <t>60 г</t>
  </si>
  <si>
    <t>120 г</t>
  </si>
  <si>
    <t>220 г</t>
  </si>
  <si>
    <t>0.0001 г</t>
  </si>
  <si>
    <t>0.001 г</t>
  </si>
  <si>
    <t>0.01 г</t>
  </si>
  <si>
    <t>0.1 г</t>
  </si>
  <si>
    <t>1 г</t>
  </si>
  <si>
    <t>320 г</t>
  </si>
  <si>
    <t>420 г</t>
  </si>
  <si>
    <t>510 г</t>
  </si>
  <si>
    <t>720 г</t>
  </si>
  <si>
    <t>1000 г</t>
  </si>
  <si>
    <t>1200 г</t>
  </si>
  <si>
    <t>2200 г</t>
  </si>
  <si>
    <t>3100 г</t>
  </si>
  <si>
    <t>4100 г</t>
  </si>
  <si>
    <t>6100 г</t>
  </si>
  <si>
    <t>15 кг</t>
  </si>
  <si>
    <t>20 кг</t>
  </si>
  <si>
    <t>25 кг</t>
  </si>
  <si>
    <t>31 кг</t>
  </si>
  <si>
    <t>60 кг</t>
  </si>
  <si>
    <t>Опции и аксессуары:</t>
  </si>
  <si>
    <t>CPR 02 - микропринтер для весов</t>
  </si>
  <si>
    <t>92 г / 220 г</t>
  </si>
  <si>
    <t>0.00001 г / 0.0001 г</t>
  </si>
  <si>
    <t>Ø 80 мм</t>
  </si>
  <si>
    <t>AFDK - комплект для измерения плотности</t>
  </si>
  <si>
    <t>SDI - выносной дисплей (кабель 1,5 м)</t>
  </si>
  <si>
    <t>SDR - выносной дисплей (кабель 3, 5 или 10 м)</t>
  </si>
  <si>
    <t>LAS-05D - ионизатор для снятия статического электричества</t>
  </si>
  <si>
    <t>80 г</t>
  </si>
  <si>
    <t>AJ-220CE</t>
  </si>
  <si>
    <t>AJH-220CE</t>
  </si>
  <si>
    <t>AJ-320CE</t>
  </si>
  <si>
    <t>AJH-320CE</t>
  </si>
  <si>
    <t>AJ-420CE</t>
  </si>
  <si>
    <t>AJH-420CE</t>
  </si>
  <si>
    <t>AJ-620CE</t>
  </si>
  <si>
    <t>AJH-620CE</t>
  </si>
  <si>
    <t>AJ-820CE</t>
  </si>
  <si>
    <t>AJ-1200CE</t>
  </si>
  <si>
    <t>AJ-2200CE</t>
  </si>
  <si>
    <t>AJH-2200CE</t>
  </si>
  <si>
    <t>AJ-3200CE</t>
  </si>
  <si>
    <t>AJH-3200CE</t>
  </si>
  <si>
    <t>AJ-4200CE</t>
  </si>
  <si>
    <t>AJH-4200CE</t>
  </si>
  <si>
    <t>AJ-6200CE</t>
  </si>
  <si>
    <t>AJ-8200CE</t>
  </si>
  <si>
    <t>AJ-12KCE</t>
  </si>
  <si>
    <t>620 г</t>
  </si>
  <si>
    <t>820 г</t>
  </si>
  <si>
    <t>3200 г</t>
  </si>
  <si>
    <t>4200 г</t>
  </si>
  <si>
    <t>6200 г</t>
  </si>
  <si>
    <t>8200 г</t>
  </si>
  <si>
    <t>12 кг</t>
  </si>
  <si>
    <t>Ø 118 мм</t>
  </si>
  <si>
    <t>170×140 мм</t>
  </si>
  <si>
    <t>180×160 мм</t>
  </si>
  <si>
    <t>AJDK - комплект для измерения плотности (для весов с d=0.001 г)</t>
  </si>
  <si>
    <t>AJUH(S) - крюк для взвешивания под весами (для весов с НПВ от 220 г до 1200 г)</t>
  </si>
  <si>
    <t>AJUH(M) - крюк для взвешивания под весами (для весов с НПВ от 2200 г до 12 кг)</t>
  </si>
  <si>
    <t>AJBT(S) - аккумуляторная батарея (для весов с НПВ от 220 г до 1200 г)</t>
  </si>
  <si>
    <t>AJBT(M) - аккумуляторная батарея (для весов с НПВ от 2200 г до 12 кг)</t>
  </si>
  <si>
    <t>SDI - выносной дисплей (кабель 1.5 м)</t>
  </si>
  <si>
    <t>21 кг</t>
  </si>
  <si>
    <t>120×140 мм</t>
  </si>
  <si>
    <t>200×200 мм</t>
  </si>
  <si>
    <t>220×250 мм</t>
  </si>
  <si>
    <t>LNLM - контакт реле (заводская опция)</t>
  </si>
  <si>
    <t>LNR4 - интерфейс RS-422A (заводская опция)</t>
  </si>
  <si>
    <t>LNBZ - звуковой сигнал (заводская опция)</t>
  </si>
  <si>
    <t>SJ-220CE</t>
  </si>
  <si>
    <t>SJ-420CE</t>
  </si>
  <si>
    <t>SJ-620CE</t>
  </si>
  <si>
    <t>SJ-1200CE</t>
  </si>
  <si>
    <t>SJ-2200CE</t>
  </si>
  <si>
    <t>SJ-4200CE</t>
  </si>
  <si>
    <t>SJ-6200CE</t>
  </si>
  <si>
    <t>SJ-12KCE</t>
  </si>
  <si>
    <t>Высокий (II)</t>
  </si>
  <si>
    <t>Ø 140 мм</t>
  </si>
  <si>
    <t>170×142 мм</t>
  </si>
  <si>
    <t>SJBT(S) - аккумуляторная батарея (для весов с НПВ от 220 г до 1200 г)</t>
  </si>
  <si>
    <t>SJLM - контакт реле (заводская опция)</t>
  </si>
  <si>
    <t>SJR - интерфейс RS-232C</t>
  </si>
  <si>
    <t>CJ-220ER</t>
  </si>
  <si>
    <t>CJ-320ER</t>
  </si>
  <si>
    <t>CJ-620ER</t>
  </si>
  <si>
    <t>CJ-820ER</t>
  </si>
  <si>
    <t>CJ-2200ER</t>
  </si>
  <si>
    <t>CJ-3200ER</t>
  </si>
  <si>
    <t>CJ-6200ER</t>
  </si>
  <si>
    <t>CJ-8200ER</t>
  </si>
  <si>
    <t>CJ-15KER</t>
  </si>
  <si>
    <t>190×190 мм</t>
  </si>
  <si>
    <t>AJUH(S) - крюк для взвешивания под весами</t>
  </si>
  <si>
    <t>CJBT - питание от сухих батарей</t>
  </si>
  <si>
    <t>CJLM - контакт реле (заводская опция)</t>
  </si>
  <si>
    <t>CJR4 - интерфейс RS-485A (заводская опция)</t>
  </si>
  <si>
    <t>CJBZ - звуковой сигнал (заводская опция)</t>
  </si>
  <si>
    <t>CJWR - влагозащищенный кабель для RS-232C</t>
  </si>
  <si>
    <t>CJAP(S) - платформа с корзиной для взвешивания животных (НПВ 620 г и 820 г)</t>
  </si>
  <si>
    <t>CJAP(M) - платформа с корзиной для взвешивания животных (НПВ 2200~6200 г)</t>
  </si>
  <si>
    <t>CJAP(L) - платформа с корзиной для взвешивания животных (НПВ 8200 г и 15 кг)</t>
  </si>
  <si>
    <t>HJ-17KSCE</t>
  </si>
  <si>
    <t>HJR-17KSCE</t>
  </si>
  <si>
    <t>HJ-22KSCE</t>
  </si>
  <si>
    <t>HJR-22KSCE</t>
  </si>
  <si>
    <t>HJ-33KSCE</t>
  </si>
  <si>
    <t>HJR-33KSCE</t>
  </si>
  <si>
    <t>HJ-62KDSCE</t>
  </si>
  <si>
    <t>HJR-62KDSCE</t>
  </si>
  <si>
    <t xml:space="preserve">17 кг </t>
  </si>
  <si>
    <t>22 кг</t>
  </si>
  <si>
    <t>33 кг</t>
  </si>
  <si>
    <t>6200 г / 62 кг</t>
  </si>
  <si>
    <t>0.1 г / 1 г</t>
  </si>
  <si>
    <t>встроенная</t>
  </si>
  <si>
    <t>400×350 мм</t>
  </si>
  <si>
    <t>HJKPK - стойка для дисплея</t>
  </si>
  <si>
    <t>HJKBT - аккумуляторная батарея</t>
  </si>
  <si>
    <t>HJKUH - крюк для взвешивания под весами</t>
  </si>
  <si>
    <t>HJKLM - контакт реле (заводская опция)</t>
  </si>
  <si>
    <t>HJKR4 - интерфейс RS-422A (заводская опция)</t>
  </si>
  <si>
    <t>HJKBZ - звуковой сигнал (заводская опция)</t>
  </si>
  <si>
    <t>HJKPC5 - удлиненный кабель 5 м (заводская опция)</t>
  </si>
  <si>
    <t>HJKPC10 - удлиненный кабель 10 м (заводская опция)</t>
  </si>
  <si>
    <t>2000 г</t>
  </si>
  <si>
    <t>6000 г</t>
  </si>
  <si>
    <t>30 кг</t>
  </si>
  <si>
    <t>610 г</t>
  </si>
  <si>
    <t>1500 г</t>
  </si>
  <si>
    <t>5 г</t>
  </si>
  <si>
    <t>1100 г</t>
  </si>
  <si>
    <t>2100 г</t>
  </si>
  <si>
    <t>5100 г</t>
  </si>
  <si>
    <t>0.005 г</t>
  </si>
  <si>
    <t>0.02 г</t>
  </si>
  <si>
    <t>0.05 г</t>
  </si>
  <si>
    <t>-</t>
  </si>
  <si>
    <t>не определен</t>
  </si>
  <si>
    <t>150 г</t>
  </si>
  <si>
    <t>300 г</t>
  </si>
  <si>
    <t>600 г</t>
  </si>
  <si>
    <t>3000 г</t>
  </si>
  <si>
    <t>Средний (III)</t>
  </si>
  <si>
    <t>Ø 120 мм</t>
  </si>
  <si>
    <t>200 г</t>
  </si>
  <si>
    <t>2 г</t>
  </si>
  <si>
    <t>JW-1-200</t>
  </si>
  <si>
    <t>JW-1-300</t>
  </si>
  <si>
    <t>JW-1-600</t>
  </si>
  <si>
    <t>JW-1-1500</t>
  </si>
  <si>
    <t>JW-1-2000</t>
  </si>
  <si>
    <t>JW-1-3000</t>
  </si>
  <si>
    <t>Ø 123 мм</t>
  </si>
  <si>
    <t>Ø 180 мм</t>
  </si>
  <si>
    <t>JWBT - питание от батарей AA 6x1.5V</t>
  </si>
  <si>
    <t>JWUH - крюк для взвешивания под весами</t>
  </si>
  <si>
    <t>JW-1C-200</t>
  </si>
  <si>
    <t>JW-1C-500</t>
  </si>
  <si>
    <t>JW-1C-1000</t>
  </si>
  <si>
    <t>JW-1C-2000</t>
  </si>
  <si>
    <t>500 г</t>
  </si>
  <si>
    <t>0.2 г</t>
  </si>
  <si>
    <t>6 кг / 15 кг</t>
  </si>
  <si>
    <t>3 кг / 6 кг</t>
  </si>
  <si>
    <t>15 кг / 30 кг</t>
  </si>
  <si>
    <t>0.5 г / 1 г</t>
  </si>
  <si>
    <t>1 г / 2 г</t>
  </si>
  <si>
    <t>2 г / 5 г</t>
  </si>
  <si>
    <t>5 г / 10 г</t>
  </si>
  <si>
    <t>5 кг</t>
  </si>
  <si>
    <t>10 кг</t>
  </si>
  <si>
    <t>0.5 г</t>
  </si>
  <si>
    <t>350×270 мм</t>
  </si>
  <si>
    <t>средний (III)</t>
  </si>
  <si>
    <t>AC-100-5</t>
  </si>
  <si>
    <t>AC-100-10</t>
  </si>
  <si>
    <t>AC-100-20</t>
  </si>
  <si>
    <t>AC-100-30</t>
  </si>
  <si>
    <t>ВЛ-124</t>
  </si>
  <si>
    <t>ВЛ-224</t>
  </si>
  <si>
    <t>ВЛ-124В</t>
  </si>
  <si>
    <t>ВЛ-224В</t>
  </si>
  <si>
    <t>ВЛ-120С</t>
  </si>
  <si>
    <t>ВЛ-220С</t>
  </si>
  <si>
    <t>ВЛ-320С</t>
  </si>
  <si>
    <t>Ø 91 мм</t>
  </si>
  <si>
    <t>ВЛТЭ-1100</t>
  </si>
  <si>
    <t>ВЛТЭ-2100</t>
  </si>
  <si>
    <t>ВЛТЭ-2100/5100</t>
  </si>
  <si>
    <t>ВЛТЭ-6100</t>
  </si>
  <si>
    <t>210 г</t>
  </si>
  <si>
    <t>310 г</t>
  </si>
  <si>
    <t>210 г / 510 г</t>
  </si>
  <si>
    <t>2100 г / 5100 г</t>
  </si>
  <si>
    <t>0.001 г / 0.01 г</t>
  </si>
  <si>
    <t>0.01 г / 0.1 г</t>
  </si>
  <si>
    <t>Ø 116 мм</t>
  </si>
  <si>
    <t>175×145 мм</t>
  </si>
  <si>
    <t>Ø 85 мм</t>
  </si>
  <si>
    <t>ВМ-153М-II</t>
  </si>
  <si>
    <t>ВМ-213М-II</t>
  </si>
  <si>
    <t>ВМ-313М-II</t>
  </si>
  <si>
    <t>ВМ-510ДМ-II</t>
  </si>
  <si>
    <t>ВМ-512М-II</t>
  </si>
  <si>
    <t>ВМ-1502М-II</t>
  </si>
  <si>
    <t>ВМ-2202М-II</t>
  </si>
  <si>
    <t>ВМ-5101М-II</t>
  </si>
  <si>
    <t>ВМ-6101М-II</t>
  </si>
  <si>
    <t>ВМ-12001М-II</t>
  </si>
  <si>
    <t>ВМ-24001М-II</t>
  </si>
  <si>
    <t>24 кг</t>
  </si>
  <si>
    <t>145×125 мм</t>
  </si>
  <si>
    <t>335×240 мм</t>
  </si>
  <si>
    <t>ВМ-153</t>
  </si>
  <si>
    <t>ВМ-213</t>
  </si>
  <si>
    <t>ВМ-313</t>
  </si>
  <si>
    <t>ВМ-510Д</t>
  </si>
  <si>
    <t>ВМ-512</t>
  </si>
  <si>
    <t>ВМ-1502</t>
  </si>
  <si>
    <t>ВМ-2202</t>
  </si>
  <si>
    <t>ВМ-5101</t>
  </si>
  <si>
    <t>ВМ-6101</t>
  </si>
  <si>
    <t>ВМ-12001</t>
  </si>
  <si>
    <t>ВМ-24001</t>
  </si>
  <si>
    <t>ВМ-153М</t>
  </si>
  <si>
    <t>ВМ-213М</t>
  </si>
  <si>
    <t>ВМ-313М</t>
  </si>
  <si>
    <t>ВМ-510ДМ</t>
  </si>
  <si>
    <t>ВМ-512М</t>
  </si>
  <si>
    <t>СЕ 124-С</t>
  </si>
  <si>
    <t>СЕ 224-С</t>
  </si>
  <si>
    <t>СЕ 153-С</t>
  </si>
  <si>
    <t>СЕ 323-С</t>
  </si>
  <si>
    <t>СЕ 423-С</t>
  </si>
  <si>
    <t>СЕ 623-С</t>
  </si>
  <si>
    <t>СЕ 612-С</t>
  </si>
  <si>
    <t>СЕ 812-С</t>
  </si>
  <si>
    <t>СЕ 1502-С</t>
  </si>
  <si>
    <t>СЕ 2202-С</t>
  </si>
  <si>
    <t>СЕ 4202-С</t>
  </si>
  <si>
    <t>СЕ 6101-С</t>
  </si>
  <si>
    <t>СЕ 8101-С</t>
  </si>
  <si>
    <t>СЕ 6202-С</t>
  </si>
  <si>
    <t>810 г</t>
  </si>
  <si>
    <t>8100 г</t>
  </si>
  <si>
    <t>Ø 115 мм</t>
  </si>
  <si>
    <t>180×180 мм</t>
  </si>
  <si>
    <t>ВК-300</t>
  </si>
  <si>
    <t>ВК-600</t>
  </si>
  <si>
    <t>ВК-1500</t>
  </si>
  <si>
    <t>ВК-3000</t>
  </si>
  <si>
    <t>ВК-150.1</t>
  </si>
  <si>
    <t>ВК-300.1</t>
  </si>
  <si>
    <t>ВК-600.1</t>
  </si>
  <si>
    <t>ВК-1500.1</t>
  </si>
  <si>
    <t>ВК-3000.1</t>
  </si>
  <si>
    <t>136×162 мм</t>
  </si>
  <si>
    <t>МК-3.2-А20</t>
  </si>
  <si>
    <t>МК-6.2-А20</t>
  </si>
  <si>
    <t>МК-15.2-А20</t>
  </si>
  <si>
    <t>МК-32.2-А20</t>
  </si>
  <si>
    <t>МК-3.2-А11</t>
  </si>
  <si>
    <t>МК-6.2-А11</t>
  </si>
  <si>
    <t>МК-15.2-А11</t>
  </si>
  <si>
    <t>МК-32.2-А11</t>
  </si>
  <si>
    <t>МК-3.2-А21</t>
  </si>
  <si>
    <t>МК-6.2-А21</t>
  </si>
  <si>
    <t>МК-15.2-А21</t>
  </si>
  <si>
    <t>МК-32.2-А21</t>
  </si>
  <si>
    <t>1.5 кг / 3 кг</t>
  </si>
  <si>
    <t>15 кг / 32 кг</t>
  </si>
  <si>
    <t>345×245 мм</t>
  </si>
  <si>
    <t>MS-70</t>
  </si>
  <si>
    <t>MX-50</t>
  </si>
  <si>
    <t>MF-50</t>
  </si>
  <si>
    <t>ML-50</t>
  </si>
  <si>
    <t>71 г</t>
  </si>
  <si>
    <t>51 г</t>
  </si>
  <si>
    <t>0.0001 г / 0.001 %</t>
  </si>
  <si>
    <t>0.001 г / 0.01 %</t>
  </si>
  <si>
    <t>0.002 г / 0.05 %</t>
  </si>
  <si>
    <t>0.005 г / 0.1 %</t>
  </si>
  <si>
    <t>SV-10</t>
  </si>
  <si>
    <t>SV-100</t>
  </si>
  <si>
    <t>SV-1A</t>
  </si>
  <si>
    <t>SV-10A</t>
  </si>
  <si>
    <t>SV-100A</t>
  </si>
  <si>
    <t>Диапазон измерений</t>
  </si>
  <si>
    <t>0.3-10000 мПа*с</t>
  </si>
  <si>
    <t>1-100 Па*с</t>
  </si>
  <si>
    <t>0.3-1000 мПа*с</t>
  </si>
  <si>
    <t>Мин. размер образца, мл</t>
  </si>
  <si>
    <t>22 г</t>
  </si>
  <si>
    <t>0.000001 г</t>
  </si>
  <si>
    <t>5.1 г / 22 г</t>
  </si>
  <si>
    <t>Ø 25 мм</t>
  </si>
  <si>
    <t>250 г</t>
  </si>
  <si>
    <t>0.00001 г</t>
  </si>
  <si>
    <t>GR-202</t>
  </si>
  <si>
    <t>42 г / 210 г</t>
  </si>
  <si>
    <t>0.000001 г / 0.00001 г</t>
  </si>
  <si>
    <t>GH-202</t>
  </si>
  <si>
    <t>GH-252</t>
  </si>
  <si>
    <t>51 г / 220 г</t>
  </si>
  <si>
    <t>101 г / 250 г</t>
  </si>
  <si>
    <t>520 г</t>
  </si>
  <si>
    <t>GR-120</t>
  </si>
  <si>
    <t>GR-200</t>
  </si>
  <si>
    <t>GR-300</t>
  </si>
  <si>
    <t>GH-120</t>
  </si>
  <si>
    <t>GH-200</t>
  </si>
  <si>
    <t>GH-300</t>
  </si>
  <si>
    <t>HR-100AG</t>
  </si>
  <si>
    <t>HR-150AG</t>
  </si>
  <si>
    <t>HR-250AG</t>
  </si>
  <si>
    <t>HR-100AZG</t>
  </si>
  <si>
    <t>HR-150AZG</t>
  </si>
  <si>
    <t>HR-250AZG</t>
  </si>
  <si>
    <t>102 г</t>
  </si>
  <si>
    <t>152 г</t>
  </si>
  <si>
    <t>252 г</t>
  </si>
  <si>
    <t>DL-120</t>
  </si>
  <si>
    <t>DL-200</t>
  </si>
  <si>
    <t>DL-300</t>
  </si>
  <si>
    <t>DL-1200</t>
  </si>
  <si>
    <t>DL-2000</t>
  </si>
  <si>
    <t>DL-3000</t>
  </si>
  <si>
    <t>DL-500</t>
  </si>
  <si>
    <t>DL-5000</t>
  </si>
  <si>
    <t>Ø 130 мм</t>
  </si>
  <si>
    <t>Ø 150 мм</t>
  </si>
  <si>
    <t>122 г</t>
  </si>
  <si>
    <t>1220 г</t>
  </si>
  <si>
    <t>5200 г</t>
  </si>
  <si>
    <t>DL-120WP</t>
  </si>
  <si>
    <t>DL-200WP</t>
  </si>
  <si>
    <t>DL-300WP</t>
  </si>
  <si>
    <t>DL-1200WP</t>
  </si>
  <si>
    <t>DL-2000WP</t>
  </si>
  <si>
    <t>DL-3000WP</t>
  </si>
  <si>
    <t>DX-120</t>
  </si>
  <si>
    <t>DX-200</t>
  </si>
  <si>
    <t>DX-300</t>
  </si>
  <si>
    <t>DX-1200</t>
  </si>
  <si>
    <t>DX-2000</t>
  </si>
  <si>
    <t>DX-3000</t>
  </si>
  <si>
    <t>DX-120WP</t>
  </si>
  <si>
    <t>DX-200WP</t>
  </si>
  <si>
    <t>DX-300WP</t>
  </si>
  <si>
    <t>DX-1200WP</t>
  </si>
  <si>
    <t>DX-2000WP</t>
  </si>
  <si>
    <t>DX-3000WP</t>
  </si>
  <si>
    <t>GX-200</t>
  </si>
  <si>
    <t>GX-400</t>
  </si>
  <si>
    <t>GX-600</t>
  </si>
  <si>
    <t>GX-800</t>
  </si>
  <si>
    <t>GX-1000</t>
  </si>
  <si>
    <t>GX-2000</t>
  </si>
  <si>
    <t>GX-4000</t>
  </si>
  <si>
    <t>GX-6100</t>
  </si>
  <si>
    <t>GX-6000</t>
  </si>
  <si>
    <t>GX-8000</t>
  </si>
  <si>
    <t>410 г</t>
  </si>
  <si>
    <t>165×165 мм</t>
  </si>
  <si>
    <t>GF-200</t>
  </si>
  <si>
    <t>GF-300</t>
  </si>
  <si>
    <t>GF-400</t>
  </si>
  <si>
    <t>GF-600</t>
  </si>
  <si>
    <t>GF-800</t>
  </si>
  <si>
    <t>GF-1000</t>
  </si>
  <si>
    <t>GF-1200</t>
  </si>
  <si>
    <t>GF-2000</t>
  </si>
  <si>
    <t>GF-3000</t>
  </si>
  <si>
    <t>GF-4000</t>
  </si>
  <si>
    <t>GF-6100</t>
  </si>
  <si>
    <t>GF-6000</t>
  </si>
  <si>
    <t>GF-8000</t>
  </si>
  <si>
    <t>1210 г</t>
  </si>
  <si>
    <t>GP-12K</t>
  </si>
  <si>
    <t>GP-20K</t>
  </si>
  <si>
    <t>GP-30K</t>
  </si>
  <si>
    <t>GP-30KS</t>
  </si>
  <si>
    <t>GP-32K</t>
  </si>
  <si>
    <t xml:space="preserve">GP-32KS </t>
  </si>
  <si>
    <t>GP-40K</t>
  </si>
  <si>
    <t>GP-60K</t>
  </si>
  <si>
    <t xml:space="preserve">GP-61K </t>
  </si>
  <si>
    <t xml:space="preserve">GP-61KS </t>
  </si>
  <si>
    <t>GP-100K</t>
  </si>
  <si>
    <t>GP-102K</t>
  </si>
  <si>
    <t>GP-100KS</t>
  </si>
  <si>
    <t>41 кг</t>
  </si>
  <si>
    <t>61 кг</t>
  </si>
  <si>
    <t>101 кг</t>
  </si>
  <si>
    <t>6.1 кг / 31 кг</t>
  </si>
  <si>
    <t>61 кг / 101 кг</t>
  </si>
  <si>
    <t>1 г / 10 г</t>
  </si>
  <si>
    <t>EK-120i</t>
  </si>
  <si>
    <t>EK-200i</t>
  </si>
  <si>
    <t>EK-300i</t>
  </si>
  <si>
    <t>EK-410i</t>
  </si>
  <si>
    <t>EK-610i</t>
  </si>
  <si>
    <t>EK-600i</t>
  </si>
  <si>
    <t>EK-1200i</t>
  </si>
  <si>
    <t>EK-2000i</t>
  </si>
  <si>
    <t>EK-3000i</t>
  </si>
  <si>
    <t>EK-4100i</t>
  </si>
  <si>
    <t>EK-6100i</t>
  </si>
  <si>
    <t>EK-6000i</t>
  </si>
  <si>
    <t>EK-12Ki</t>
  </si>
  <si>
    <t>EW-150i</t>
  </si>
  <si>
    <t>EW-1500i</t>
  </si>
  <si>
    <t>EW-12Ki</t>
  </si>
  <si>
    <t>400 г</t>
  </si>
  <si>
    <t>4000 г</t>
  </si>
  <si>
    <t>30 г / 60 г / 150 г</t>
  </si>
  <si>
    <t>300 г / 600 г / 1500 г</t>
  </si>
  <si>
    <t>3000 г / 6000 г / 12 кг</t>
  </si>
  <si>
    <t>0.01 г / 0.02 г / 0.05 г</t>
  </si>
  <si>
    <t>0.1 г / 0.2 г / 0.5 г</t>
  </si>
  <si>
    <t>1 г / 2 г / 5 г</t>
  </si>
  <si>
    <t>384×344 мм</t>
  </si>
  <si>
    <t>386×346 мм</t>
  </si>
  <si>
    <t>Ø 110 мм</t>
  </si>
  <si>
    <t>133×170 мм</t>
  </si>
  <si>
    <t>NP-1000S</t>
  </si>
  <si>
    <t>NP-2000S</t>
  </si>
  <si>
    <t>NP-5000S</t>
  </si>
  <si>
    <t>NP-5001S</t>
  </si>
  <si>
    <t>NP-12KS</t>
  </si>
  <si>
    <t>NP-20KS</t>
  </si>
  <si>
    <t>NP-30KS</t>
  </si>
  <si>
    <t>1 кг</t>
  </si>
  <si>
    <t>2 кг</t>
  </si>
  <si>
    <t>10 г</t>
  </si>
  <si>
    <t>20 г</t>
  </si>
  <si>
    <t>230×190 мм</t>
  </si>
  <si>
    <t>SK-1000WP</t>
  </si>
  <si>
    <t>SK-2000WP</t>
  </si>
  <si>
    <t>SK-5000WP</t>
  </si>
  <si>
    <t>SK-5001WP</t>
  </si>
  <si>
    <t>SK-10KWP</t>
  </si>
  <si>
    <t>SK-20KWP</t>
  </si>
  <si>
    <t>HJ-150</t>
  </si>
  <si>
    <t>60×64 мм</t>
  </si>
  <si>
    <t>HL-300WP</t>
  </si>
  <si>
    <t>HL-1000WP</t>
  </si>
  <si>
    <t>HL-3000WP</t>
  </si>
  <si>
    <t>HL-3000LWP</t>
  </si>
  <si>
    <t>3 кг</t>
  </si>
  <si>
    <t>126×126 мм</t>
  </si>
  <si>
    <t>174×137 мм</t>
  </si>
  <si>
    <t>HT-300</t>
  </si>
  <si>
    <t>HT-500</t>
  </si>
  <si>
    <t>HT-3000</t>
  </si>
  <si>
    <t>HT-5000</t>
  </si>
  <si>
    <t>132×130 мм</t>
  </si>
  <si>
    <t>FC-500i</t>
  </si>
  <si>
    <t>FC-1000i</t>
  </si>
  <si>
    <t>FC-2000i</t>
  </si>
  <si>
    <t>FC-5000i</t>
  </si>
  <si>
    <t>FC-10Ki</t>
  </si>
  <si>
    <t>FC-20Ki</t>
  </si>
  <si>
    <t>FC-50Ki</t>
  </si>
  <si>
    <t>FC-500Si</t>
  </si>
  <si>
    <t>FC-5000Si</t>
  </si>
  <si>
    <t>50 кг</t>
  </si>
  <si>
    <t>205×152 мм</t>
  </si>
  <si>
    <t>300×280 мм</t>
  </si>
  <si>
    <t>FS-6Ki</t>
  </si>
  <si>
    <t>FS-15Ki</t>
  </si>
  <si>
    <t>FS-30Ki</t>
  </si>
  <si>
    <t>6 кг</t>
  </si>
  <si>
    <t>250×250 мм</t>
  </si>
  <si>
    <t>380×300 мм</t>
  </si>
  <si>
    <t>FG-30KAM</t>
  </si>
  <si>
    <t>FG-60KAM</t>
  </si>
  <si>
    <t>FG-150KAM</t>
  </si>
  <si>
    <t>FG-30KBM</t>
  </si>
  <si>
    <t>FG-60KBM</t>
  </si>
  <si>
    <t>FG-150KBM</t>
  </si>
  <si>
    <t>FG-60KAL</t>
  </si>
  <si>
    <t>FG-150KAL</t>
  </si>
  <si>
    <t>150 кг</t>
  </si>
  <si>
    <t>390×530 мм</t>
  </si>
  <si>
    <t>300×380 мм</t>
  </si>
  <si>
    <t>HV-15KVWP</t>
  </si>
  <si>
    <t>HV-60KVWP</t>
  </si>
  <si>
    <t>HV-200KVWP</t>
  </si>
  <si>
    <t>HW-10KVWP</t>
  </si>
  <si>
    <t>HW-60KVWP</t>
  </si>
  <si>
    <t>HW-100KVWP</t>
  </si>
  <si>
    <t>HW-200KVWP</t>
  </si>
  <si>
    <t>3 кг / 6 кг / 15 кг</t>
  </si>
  <si>
    <t>15 кг / 30 кг / 60 кг</t>
  </si>
  <si>
    <t>60 кг / 150 кг / 220 кг</t>
  </si>
  <si>
    <t>100 кг</t>
  </si>
  <si>
    <t>220 кг</t>
  </si>
  <si>
    <t>5 г / 10 г / 20 г</t>
  </si>
  <si>
    <t>20 г / 50 г / 100 г</t>
  </si>
  <si>
    <t>330×424 мм</t>
  </si>
  <si>
    <t>HV-15KGL</t>
  </si>
  <si>
    <t>HV-60KGL</t>
  </si>
  <si>
    <t>HV-200KGL</t>
  </si>
  <si>
    <t>HV-15KGV</t>
  </si>
  <si>
    <t>HV-60KGV</t>
  </si>
  <si>
    <t>HV-200KGV</t>
  </si>
  <si>
    <t>HW-10KGL</t>
  </si>
  <si>
    <t>HW-100KGL</t>
  </si>
  <si>
    <t>HW-10KGV</t>
  </si>
  <si>
    <t>HW-100KGV</t>
  </si>
  <si>
    <t>EМ-30KAM</t>
  </si>
  <si>
    <t>EМ-60KAM</t>
  </si>
  <si>
    <t>EМ-60KAL</t>
  </si>
  <si>
    <t>EM-150KAL</t>
  </si>
  <si>
    <t>EM-300KAX</t>
  </si>
  <si>
    <t>300×350 мм</t>
  </si>
  <si>
    <t>400×500 мм</t>
  </si>
  <si>
    <t>500×600 мм</t>
  </si>
  <si>
    <t>300 кг</t>
  </si>
  <si>
    <t>110 г</t>
  </si>
  <si>
    <t>EX-124</t>
  </si>
  <si>
    <t>EX-124/AD</t>
  </si>
  <si>
    <t>EX-224</t>
  </si>
  <si>
    <t>EX-224/AD</t>
  </si>
  <si>
    <t>EX-324</t>
  </si>
  <si>
    <t>EX-324/AD</t>
  </si>
  <si>
    <t>EX-223</t>
  </si>
  <si>
    <t>EX-423</t>
  </si>
  <si>
    <t>EX-623</t>
  </si>
  <si>
    <t>EX-1103</t>
  </si>
  <si>
    <t>EX-2202</t>
  </si>
  <si>
    <t>EX-4202</t>
  </si>
  <si>
    <t>EX-6202</t>
  </si>
  <si>
    <t>EX-6201</t>
  </si>
  <si>
    <t>EX-10202</t>
  </si>
  <si>
    <t>EX-10201</t>
  </si>
  <si>
    <t>10200 г</t>
  </si>
  <si>
    <t>190×200 мм</t>
  </si>
  <si>
    <t>MB-23</t>
  </si>
  <si>
    <t>MB-25</t>
  </si>
  <si>
    <t>35 г</t>
  </si>
  <si>
    <t>0.01 / 0.1%</t>
  </si>
  <si>
    <t>0.005 / 0.05%</t>
  </si>
  <si>
    <t>0.001 / 0.01%</t>
  </si>
  <si>
    <t>CAUW-120D</t>
  </si>
  <si>
    <t>CAUW-220D</t>
  </si>
  <si>
    <t>CAUY-120</t>
  </si>
  <si>
    <t>CAUY-220</t>
  </si>
  <si>
    <t>CAUX-120</t>
  </si>
  <si>
    <t>CAUX-220</t>
  </si>
  <si>
    <t>CAUX-320</t>
  </si>
  <si>
    <t>CAUW-220</t>
  </si>
  <si>
    <t>CAUW-320</t>
  </si>
  <si>
    <t>CAUW-120</t>
  </si>
  <si>
    <t>42 г / 120 г</t>
  </si>
  <si>
    <t>82 г / 220 г</t>
  </si>
  <si>
    <t>CMK-401 - комплект для определения плотности</t>
  </si>
  <si>
    <t>CUX-220H</t>
  </si>
  <si>
    <t>CUX-420H</t>
  </si>
  <si>
    <t>CUX-620H</t>
  </si>
  <si>
    <t>CUX-420S</t>
  </si>
  <si>
    <t>CUX-820S</t>
  </si>
  <si>
    <t>CUX-2200H</t>
  </si>
  <si>
    <t>CUX-4200H</t>
  </si>
  <si>
    <t>CUX-6200H</t>
  </si>
  <si>
    <t>CUX-8200S</t>
  </si>
  <si>
    <t>CUW-220H</t>
  </si>
  <si>
    <t>CUW-420H</t>
  </si>
  <si>
    <t>CUW-620HV</t>
  </si>
  <si>
    <t>CUW-420S</t>
  </si>
  <si>
    <t>CUW-820S</t>
  </si>
  <si>
    <t>CUW-2200H</t>
  </si>
  <si>
    <t>CUW-4200H</t>
  </si>
  <si>
    <t>CUW-6200HV</t>
  </si>
  <si>
    <t>CUW-4200S</t>
  </si>
  <si>
    <t>CUW-8200S</t>
  </si>
  <si>
    <t>CUW-620H</t>
  </si>
  <si>
    <t>CUW-6200H</t>
  </si>
  <si>
    <t>108×105 мм</t>
  </si>
  <si>
    <t>170×180 мм</t>
  </si>
  <si>
    <t>MWP-150</t>
  </si>
  <si>
    <t>MWP-300</t>
  </si>
  <si>
    <t>MWP-300H</t>
  </si>
  <si>
    <t>MWP-600</t>
  </si>
  <si>
    <t>MWP-1500</t>
  </si>
  <si>
    <t>MWP-3000</t>
  </si>
  <si>
    <t>MWP-3000H</t>
  </si>
  <si>
    <t>124×144 мм</t>
  </si>
  <si>
    <t>CBL-220H</t>
  </si>
  <si>
    <t>CBL-320H</t>
  </si>
  <si>
    <t>CBL-2200H</t>
  </si>
  <si>
    <t>CBL-3200H</t>
  </si>
  <si>
    <t>100×100 мм</t>
  </si>
  <si>
    <t>160×124 мм</t>
  </si>
  <si>
    <t>CBX-12KH</t>
  </si>
  <si>
    <t>CBX-22KH</t>
  </si>
  <si>
    <t>CBX-32KH</t>
  </si>
  <si>
    <t>CBX-32KS</t>
  </si>
  <si>
    <t>CBX-52KS</t>
  </si>
  <si>
    <t>32 кг</t>
  </si>
  <si>
    <t>52 кг</t>
  </si>
  <si>
    <t>345×250 мм</t>
  </si>
  <si>
    <t>ED-3H</t>
  </si>
  <si>
    <t>ED-6H</t>
  </si>
  <si>
    <t>ED-15H</t>
  </si>
  <si>
    <t>ED-30H</t>
  </si>
  <si>
    <t>306×222 мм</t>
  </si>
  <si>
    <t>AD-2.5</t>
  </si>
  <si>
    <t>AD-5</t>
  </si>
  <si>
    <t>AD-5H</t>
  </si>
  <si>
    <t>AD-10</t>
  </si>
  <si>
    <t>AD-10H</t>
  </si>
  <si>
    <t>AD-20H</t>
  </si>
  <si>
    <t>AD-25</t>
  </si>
  <si>
    <t>2.5 кг</t>
  </si>
  <si>
    <t>340×215 мм</t>
  </si>
  <si>
    <t>PW-2H</t>
  </si>
  <si>
    <t>PW-5H</t>
  </si>
  <si>
    <t>PW-10H</t>
  </si>
  <si>
    <t>220×150 мм</t>
  </si>
  <si>
    <t>SW-2</t>
  </si>
  <si>
    <t>SW-5</t>
  </si>
  <si>
    <t>SW-10</t>
  </si>
  <si>
    <t>SW-20</t>
  </si>
  <si>
    <t>SW-5W</t>
  </si>
  <si>
    <t>SW-10W</t>
  </si>
  <si>
    <t>SW-20W</t>
  </si>
  <si>
    <t>SW-2 (DD)</t>
  </si>
  <si>
    <t>SW-5 (DD)</t>
  </si>
  <si>
    <t>SW-10 (DD)</t>
  </si>
  <si>
    <t>SW-20 (DD)</t>
  </si>
  <si>
    <t>SW-5W (DD)</t>
  </si>
  <si>
    <t>239×190 мм</t>
  </si>
  <si>
    <t>247×195 мм</t>
  </si>
  <si>
    <t>Кожух пылевлагозащитный (прозрачный пластик)</t>
  </si>
  <si>
    <t>Платформа из нержавеющей стали для весов SW</t>
  </si>
  <si>
    <t>Платформа-чаша из нержавеющей стали для весов SW</t>
  </si>
  <si>
    <t>SWII-2</t>
  </si>
  <si>
    <t>SWII-5</t>
  </si>
  <si>
    <t>SWII-10</t>
  </si>
  <si>
    <t>SWII-30</t>
  </si>
  <si>
    <t>SWII-5P</t>
  </si>
  <si>
    <t>SWII-10P</t>
  </si>
  <si>
    <t>SWII-30P</t>
  </si>
  <si>
    <t>CS-2.5</t>
  </si>
  <si>
    <t>CS-5</t>
  </si>
  <si>
    <t>CS-10</t>
  </si>
  <si>
    <t>CS-25</t>
  </si>
  <si>
    <t>EC-3</t>
  </si>
  <si>
    <t>EC-6</t>
  </si>
  <si>
    <t>EC-15</t>
  </si>
  <si>
    <t>EC-30</t>
  </si>
  <si>
    <t>BW-06R</t>
  </si>
  <si>
    <t>BW-15RB</t>
  </si>
  <si>
    <t>BW-30RB</t>
  </si>
  <si>
    <t>BW-60RB</t>
  </si>
  <si>
    <t>BW-150RB</t>
  </si>
  <si>
    <t>BW-500 (ND-500)</t>
  </si>
  <si>
    <t>500 кг</t>
  </si>
  <si>
    <t>50 г</t>
  </si>
  <si>
    <t>280×280 мм</t>
  </si>
  <si>
    <t>405×525 мм</t>
  </si>
  <si>
    <t>465×645 мм</t>
  </si>
  <si>
    <t>200 кг</t>
  </si>
  <si>
    <t>100 г</t>
  </si>
  <si>
    <t>345×465 мм</t>
  </si>
  <si>
    <t>420×510 мм</t>
  </si>
  <si>
    <t>DB-60H</t>
  </si>
  <si>
    <t>DB-150H</t>
  </si>
  <si>
    <t>DB-200H</t>
  </si>
  <si>
    <t>ND-300E</t>
  </si>
  <si>
    <t>30 кг / 60 кг</t>
  </si>
  <si>
    <t>10 г / 20 г</t>
  </si>
  <si>
    <t>60 кг / 150 кг</t>
  </si>
  <si>
    <t>20 г / 50 г</t>
  </si>
  <si>
    <t>150 кг / 300 кг</t>
  </si>
  <si>
    <t>50 г / 100 г</t>
  </si>
  <si>
    <t>456×645 мм</t>
  </si>
  <si>
    <t>DBII-60E</t>
  </si>
  <si>
    <t>DBII-150E</t>
  </si>
  <si>
    <t>100 кг / 200 кг</t>
  </si>
  <si>
    <t>360×460 мм</t>
  </si>
  <si>
    <t>PB-60</t>
  </si>
  <si>
    <t>PB-150</t>
  </si>
  <si>
    <t>PB-200</t>
  </si>
  <si>
    <t>PB-30</t>
  </si>
  <si>
    <t>355×443 мм</t>
  </si>
  <si>
    <t>320×210 мм</t>
  </si>
  <si>
    <t>МК-3.2-С21</t>
  </si>
  <si>
    <t>МК-6.2-С21</t>
  </si>
  <si>
    <t>МК-15.2-С21</t>
  </si>
  <si>
    <t>МК-32.2-С21</t>
  </si>
  <si>
    <t>ИВ-4С - дополнительный выносной индикатор</t>
  </si>
  <si>
    <t>МК-3.2-АВ11</t>
  </si>
  <si>
    <t>МК-6.2-АВ11</t>
  </si>
  <si>
    <t>МК-15.2-АВ11</t>
  </si>
  <si>
    <t>МК-32.2-АВ11</t>
  </si>
  <si>
    <t>МК-3.2-АВ20</t>
  </si>
  <si>
    <t>МК-6.2-АВ20</t>
  </si>
  <si>
    <t>МК-15.2-АВ20</t>
  </si>
  <si>
    <t>МК-32.2-АВ20</t>
  </si>
  <si>
    <t>МК-6.2-Т21</t>
  </si>
  <si>
    <t>МК-15.2-Т21</t>
  </si>
  <si>
    <t>МК-32.2-Т21</t>
  </si>
  <si>
    <t>340×245 мм</t>
  </si>
  <si>
    <t>МК-6.2-ТН11</t>
  </si>
  <si>
    <t>МК-15.2-ТН11</t>
  </si>
  <si>
    <t>МК-32.2-ТН11</t>
  </si>
  <si>
    <t>МК-6.2-ТВ21</t>
  </si>
  <si>
    <t>МК-15.2-ТВ21</t>
  </si>
  <si>
    <t>МК-32.2-ТВ21</t>
  </si>
  <si>
    <t>МК-6.2-ТН21</t>
  </si>
  <si>
    <t>МК-15.2-ТН21</t>
  </si>
  <si>
    <t>МК-32.2-ТН21</t>
  </si>
  <si>
    <t>ТВ-S-15.2-А1</t>
  </si>
  <si>
    <t>ТВ-S-15.2-А2</t>
  </si>
  <si>
    <t>ТВ-S-15.2-А3</t>
  </si>
  <si>
    <t>ТВ-S-32.2-А1</t>
  </si>
  <si>
    <t>ТВ-S-32.2-А2</t>
  </si>
  <si>
    <t>ТВ-S-32.2-А3</t>
  </si>
  <si>
    <t>ТВ-S-60.2-А1</t>
  </si>
  <si>
    <t>ТВ-S-60.2-А2</t>
  </si>
  <si>
    <t>ТВ-S-60.2-А3</t>
  </si>
  <si>
    <t>ТВ-S-200.2-А1</t>
  </si>
  <si>
    <t>ТВ-S-200.2-А2</t>
  </si>
  <si>
    <t>ТВ-S-200.2-А3</t>
  </si>
  <si>
    <t>60 кг / 200 кг</t>
  </si>
  <si>
    <t>ТВ-M-60.2-А1</t>
  </si>
  <si>
    <t>ТВ-M-60.2-А3</t>
  </si>
  <si>
    <t>ТВ-M-150.2-А1</t>
  </si>
  <si>
    <t>ТВ-M-150.2-А3</t>
  </si>
  <si>
    <t>ТВ-M-300.2-А1</t>
  </si>
  <si>
    <t>ТВ-M-300.2-А3</t>
  </si>
  <si>
    <t>ТВ-M-600.2-А1</t>
  </si>
  <si>
    <t>ТВ-M-600.2-А3</t>
  </si>
  <si>
    <t>300 кг / 600 кг</t>
  </si>
  <si>
    <t>100 г / 200 г</t>
  </si>
  <si>
    <t>600×800 мм</t>
  </si>
  <si>
    <t>В1-15 САША</t>
  </si>
  <si>
    <t>3 кг / 6 кг /15 кг</t>
  </si>
  <si>
    <t>540×290 мм</t>
  </si>
  <si>
    <t>ВЭМ-150-А1</t>
  </si>
  <si>
    <t>ВЭМ-150-А2</t>
  </si>
  <si>
    <t>ВЭМ-150-А3</t>
  </si>
  <si>
    <t>510×400 мм</t>
  </si>
  <si>
    <t>ЕК-А-0.6</t>
  </si>
  <si>
    <t>ЕК-А-1</t>
  </si>
  <si>
    <t>ЕК-А-2</t>
  </si>
  <si>
    <t>ЕК-А-3</t>
  </si>
  <si>
    <t>ЕК-А-5</t>
  </si>
  <si>
    <t>ЕК-А-7.5</t>
  </si>
  <si>
    <t>ЕК-А-10</t>
  </si>
  <si>
    <t>ЕК-СМ-5</t>
  </si>
  <si>
    <t>ЕК-СМ-10</t>
  </si>
  <si>
    <t>ЕК-СМ-15</t>
  </si>
  <si>
    <t>600 кг</t>
  </si>
  <si>
    <t>1000 кг</t>
  </si>
  <si>
    <t>2000 кг</t>
  </si>
  <si>
    <t>3000 кг</t>
  </si>
  <si>
    <t>5000 кг</t>
  </si>
  <si>
    <t>7500 кг</t>
  </si>
  <si>
    <t>10000 кг</t>
  </si>
  <si>
    <t>15000 кг</t>
  </si>
  <si>
    <t>крюк</t>
  </si>
  <si>
    <t>1500 кг</t>
  </si>
  <si>
    <t>2000×1500 мм</t>
  </si>
  <si>
    <t>Терминалы:</t>
  </si>
  <si>
    <t>ST4D - стойка для терминала</t>
  </si>
  <si>
    <t>Моноблочные (накатные) весы 4D-LM</t>
  </si>
  <si>
    <t>1000×1000 мм</t>
  </si>
  <si>
    <t>Платформенные низкопрофильные весы 4D-LA (LA - конструкционная сталь, LA.S - нерж. сталь)</t>
  </si>
  <si>
    <t>1500×1200 мм</t>
  </si>
  <si>
    <t>Паллетные весы 4D-U</t>
  </si>
  <si>
    <t>4D-U-1-1000</t>
  </si>
  <si>
    <t>4D-U-1-2000</t>
  </si>
  <si>
    <t>1200×840 мм</t>
  </si>
  <si>
    <t>1200×100 мм</t>
  </si>
  <si>
    <t>по запросу</t>
  </si>
  <si>
    <t xml:space="preserve">ER JR-6CB   </t>
  </si>
  <si>
    <t>ER JR-6CBU</t>
  </si>
  <si>
    <t>ER JR-15CB</t>
  </si>
  <si>
    <t>ER JR-15CBU</t>
  </si>
  <si>
    <t xml:space="preserve">ER JR-30CB   </t>
  </si>
  <si>
    <t>ER JR-30CBU</t>
  </si>
  <si>
    <t>290×209 мм</t>
  </si>
  <si>
    <t>341×255 мм</t>
  </si>
  <si>
    <t>AP-6EX</t>
  </si>
  <si>
    <t xml:space="preserve"> AP-15EX</t>
  </si>
  <si>
    <t xml:space="preserve"> AP-15EX BT</t>
  </si>
  <si>
    <t>AP-30EX</t>
  </si>
  <si>
    <t>AP-30EX BT</t>
  </si>
  <si>
    <t>AP-6M</t>
  </si>
  <si>
    <t>AP-15M</t>
  </si>
  <si>
    <t>AP-15M BT</t>
  </si>
  <si>
    <t xml:space="preserve">AP-30M </t>
  </si>
  <si>
    <t>AP-30M BT</t>
  </si>
  <si>
    <t>215×340 мм</t>
  </si>
  <si>
    <t>275×440 мм</t>
  </si>
  <si>
    <t>LP-06R (v.1.6.)</t>
  </si>
  <si>
    <t>LP-15 (v.1.6.)</t>
  </si>
  <si>
    <t>LP-15R (v.1.6.)</t>
  </si>
  <si>
    <t>LP-30 (v.1.6.)</t>
  </si>
  <si>
    <t>LP-06 (v.1.6.)</t>
  </si>
  <si>
    <t>400×245 мм</t>
  </si>
  <si>
    <t>Термоголовка к LP</t>
  </si>
  <si>
    <t>Порт TCP-IP</t>
  </si>
  <si>
    <t>LP-30R (v.1.6.)</t>
  </si>
  <si>
    <t>10000 кг ×2</t>
  </si>
  <si>
    <t>15000 кг ×2</t>
  </si>
  <si>
    <t>900×500×39 мм</t>
  </si>
  <si>
    <t>Пассивная площадка RAMP 1 (900×590 мм)</t>
  </si>
  <si>
    <t>Пассивная площадка RAMP 2 (900×545 мм)</t>
  </si>
  <si>
    <t>Пассивная площадка RAMP 3 (900×500 мм)</t>
  </si>
  <si>
    <t>Комплект пассивных площадок - 12 шт. (RAMP 2)</t>
  </si>
  <si>
    <t>Пассивная площадка RAMP 3 (900×267 мм)</t>
  </si>
  <si>
    <t>0.5 THA</t>
  </si>
  <si>
    <t>1 THA</t>
  </si>
  <si>
    <t>2 THA</t>
  </si>
  <si>
    <t>3 THA</t>
  </si>
  <si>
    <t>5 THA</t>
  </si>
  <si>
    <t>1 THD</t>
  </si>
  <si>
    <t>2 THD</t>
  </si>
  <si>
    <t>3 THD</t>
  </si>
  <si>
    <t>5 THD</t>
  </si>
  <si>
    <t>10 THD</t>
  </si>
  <si>
    <t>15 THD</t>
  </si>
  <si>
    <t>20 THD</t>
  </si>
  <si>
    <t>20000 кг</t>
  </si>
  <si>
    <t>MA-35</t>
  </si>
  <si>
    <t>MA-150</t>
  </si>
  <si>
    <t>0.001/0.01%</t>
  </si>
  <si>
    <t>Напольные весы СКЕ</t>
  </si>
  <si>
    <t>СКЕ 60-4050</t>
  </si>
  <si>
    <t>СКЕ 150-4050</t>
  </si>
  <si>
    <t>СКЕ 150-4560</t>
  </si>
  <si>
    <t>СКЕ 300-4560</t>
  </si>
  <si>
    <t>СКЕ 300-6080</t>
  </si>
  <si>
    <t>СКЕ 500-6080</t>
  </si>
  <si>
    <t>450×600 мм</t>
  </si>
  <si>
    <t>Напольные весы СКЕ-Н (полностью из нерж. стали)</t>
  </si>
  <si>
    <t>СКЕ-Н 60-4050</t>
  </si>
  <si>
    <t>СКЕ-Н 150-4050</t>
  </si>
  <si>
    <t>СКЕ-Н 150-4560</t>
  </si>
  <si>
    <t>СКЕ-Н 300-4560</t>
  </si>
  <si>
    <t>СКЕ-Н 300-6080</t>
  </si>
  <si>
    <t>СКЕ-Н 500-6080</t>
  </si>
  <si>
    <t>1520 г</t>
  </si>
  <si>
    <t>175×195 мм</t>
  </si>
  <si>
    <t>ВЛ-120М</t>
  </si>
  <si>
    <t>ВЛ-220М</t>
  </si>
  <si>
    <t>BM-20G</t>
  </si>
  <si>
    <t>BM-22G</t>
  </si>
  <si>
    <t>BM-252G</t>
  </si>
  <si>
    <t>BM-200G</t>
  </si>
  <si>
    <t>BM-300G</t>
  </si>
  <si>
    <t>BM-500G</t>
  </si>
  <si>
    <t>ВЛТЭ-510</t>
  </si>
  <si>
    <t>II высокий</t>
  </si>
  <si>
    <t>Интерфейс RS-232</t>
  </si>
  <si>
    <t>Внешняя аккумуляторная батарея автономного питания</t>
  </si>
  <si>
    <t>ВЛТЭ-5100</t>
  </si>
  <si>
    <t>ВЛТЭ-150С</t>
  </si>
  <si>
    <t>ВЛТЭ-210С</t>
  </si>
  <si>
    <t>ВЛТЭ-310С</t>
  </si>
  <si>
    <t>ВЛТЭ-510С</t>
  </si>
  <si>
    <t>ВЛТЭ-210/510С</t>
  </si>
  <si>
    <t>ВЛЭ-223С</t>
  </si>
  <si>
    <t>ВЛЭ-423С</t>
  </si>
  <si>
    <t>ВЛЭ-623С</t>
  </si>
  <si>
    <t>ВЛЭ-623СI</t>
  </si>
  <si>
    <t>ВЛЭ-823СI</t>
  </si>
  <si>
    <t>ВЛЭ-1023СI</t>
  </si>
  <si>
    <t>ВЛЭ-822С</t>
  </si>
  <si>
    <t>ВЛЭ-2202С</t>
  </si>
  <si>
    <t>ВЛЭ-4202С</t>
  </si>
  <si>
    <t>ВЛЭ-6202С</t>
  </si>
  <si>
    <t>ВЛЭ-6202СI</t>
  </si>
  <si>
    <t>1020 г</t>
  </si>
  <si>
    <t>I специальный</t>
  </si>
  <si>
    <t>ВЛЭ-8201С</t>
  </si>
  <si>
    <t>ВЛТЭ-150T(В)</t>
  </si>
  <si>
    <t>ВЛТЭ-210T(В)</t>
  </si>
  <si>
    <t>ВЛТЭ-310T(В)</t>
  </si>
  <si>
    <t>ВЛТЭ-510T(В)</t>
  </si>
  <si>
    <t>ВЛТЭ-1100T</t>
  </si>
  <si>
    <t>ВЛТЭ-2100T</t>
  </si>
  <si>
    <t>CDK 01 - комплект для определения плотности</t>
  </si>
  <si>
    <t>MD-83</t>
  </si>
  <si>
    <t>DA-2 - одноразовые чашки для образцов (50 шт.)</t>
  </si>
  <si>
    <t>FDL-012 - программное обеспечение</t>
  </si>
  <si>
    <t>VZ-330 - микропринтер (кабель в комплекте)</t>
  </si>
  <si>
    <t>TQ-100 - лабораторная мельница</t>
  </si>
  <si>
    <t>FW-100 - ветрозащита с дезодорирующим фильтром</t>
  </si>
  <si>
    <t>Переходник COM-USB</t>
  </si>
  <si>
    <t>CT-603CE</t>
  </si>
  <si>
    <t>CT-603GCE</t>
  </si>
  <si>
    <t>CT-1602CE</t>
  </si>
  <si>
    <t>CT-1602GCE</t>
  </si>
  <si>
    <t>не предусмотрен</t>
  </si>
  <si>
    <t>AJBT(S) - аккумуляторная батарея</t>
  </si>
  <si>
    <r>
      <t xml:space="preserve">0.5 г / 1 г / </t>
    </r>
    <r>
      <rPr>
        <b/>
        <sz val="10"/>
        <color indexed="8"/>
        <rFont val="Book Antiqua"/>
        <family val="1"/>
        <charset val="204"/>
      </rPr>
      <t>2 г</t>
    </r>
    <r>
      <rPr>
        <sz val="10"/>
        <color indexed="8"/>
        <rFont val="Book Antiqua"/>
        <family val="1"/>
        <charset val="204"/>
      </rPr>
      <t xml:space="preserve"> *</t>
    </r>
  </si>
  <si>
    <r>
      <t xml:space="preserve">1 г / 2 г / </t>
    </r>
    <r>
      <rPr>
        <b/>
        <sz val="10"/>
        <color indexed="8"/>
        <rFont val="Book Antiqua"/>
        <family val="1"/>
        <charset val="204"/>
      </rPr>
      <t>5 г</t>
    </r>
    <r>
      <rPr>
        <sz val="10"/>
        <color indexed="8"/>
        <rFont val="Book Antiqua"/>
        <family val="1"/>
        <charset val="204"/>
      </rPr>
      <t xml:space="preserve"> *</t>
    </r>
  </si>
  <si>
    <r>
      <t xml:space="preserve">2 г / 5 г / </t>
    </r>
    <r>
      <rPr>
        <b/>
        <sz val="10"/>
        <color indexed="8"/>
        <rFont val="Book Antiqua"/>
        <family val="1"/>
        <charset val="204"/>
      </rPr>
      <t>10 г</t>
    </r>
    <r>
      <rPr>
        <sz val="10"/>
        <color indexed="8"/>
        <rFont val="Book Antiqua"/>
        <family val="1"/>
        <charset val="204"/>
      </rPr>
      <t xml:space="preserve"> *</t>
    </r>
  </si>
  <si>
    <r>
      <t xml:space="preserve">2 г / </t>
    </r>
    <r>
      <rPr>
        <b/>
        <sz val="10"/>
        <color indexed="8"/>
        <rFont val="Book Antiqua"/>
        <family val="1"/>
        <charset val="204"/>
      </rPr>
      <t>5 г *</t>
    </r>
    <r>
      <rPr>
        <sz val="10"/>
        <color indexed="8"/>
        <rFont val="Book Antiqua"/>
        <family val="1"/>
        <charset val="204"/>
      </rPr>
      <t xml:space="preserve"> / 10 г</t>
    </r>
  </si>
  <si>
    <r>
      <t xml:space="preserve">5 г / </t>
    </r>
    <r>
      <rPr>
        <b/>
        <sz val="10"/>
        <color indexed="8"/>
        <rFont val="Book Antiqua"/>
        <family val="1"/>
        <charset val="204"/>
      </rPr>
      <t>10 г *</t>
    </r>
    <r>
      <rPr>
        <sz val="10"/>
        <color indexed="8"/>
        <rFont val="Book Antiqua"/>
        <family val="1"/>
        <charset val="204"/>
      </rPr>
      <t xml:space="preserve"> / 20 г</t>
    </r>
  </si>
  <si>
    <r>
      <t xml:space="preserve">10 г / </t>
    </r>
    <r>
      <rPr>
        <b/>
        <sz val="10"/>
        <color indexed="8"/>
        <rFont val="Book Antiqua"/>
        <family val="1"/>
        <charset val="204"/>
      </rPr>
      <t>20 г *</t>
    </r>
    <r>
      <rPr>
        <sz val="10"/>
        <color indexed="8"/>
        <rFont val="Book Antiqua"/>
        <family val="1"/>
        <charset val="204"/>
      </rPr>
      <t xml:space="preserve"> / 50 г</t>
    </r>
  </si>
  <si>
    <r>
      <t xml:space="preserve">2 г / 5 г / </t>
    </r>
    <r>
      <rPr>
        <b/>
        <sz val="10"/>
        <color indexed="8"/>
        <rFont val="Book Antiqua"/>
        <family val="1"/>
        <charset val="204"/>
      </rPr>
      <t>10 г *</t>
    </r>
  </si>
  <si>
    <r>
      <t xml:space="preserve">5 г / 10 г / </t>
    </r>
    <r>
      <rPr>
        <b/>
        <sz val="10"/>
        <color indexed="8"/>
        <rFont val="Book Antiqua"/>
        <family val="1"/>
        <charset val="204"/>
      </rPr>
      <t>20 г *</t>
    </r>
  </si>
  <si>
    <r>
      <t xml:space="preserve">10 г / 20 г / </t>
    </r>
    <r>
      <rPr>
        <b/>
        <sz val="10"/>
        <color indexed="8"/>
        <rFont val="Book Antiqua"/>
        <family val="1"/>
        <charset val="204"/>
      </rPr>
      <t>50 г *</t>
    </r>
  </si>
  <si>
    <t>не присвоен</t>
  </si>
  <si>
    <t>MC-6100</t>
  </si>
  <si>
    <t>MC-10K</t>
  </si>
  <si>
    <t>MC-30K</t>
  </si>
  <si>
    <t>10100 г</t>
  </si>
  <si>
    <t>30100 г</t>
  </si>
  <si>
    <t>270×210 мм</t>
  </si>
  <si>
    <t>MC-1000</t>
  </si>
  <si>
    <r>
      <t xml:space="preserve">EUR - </t>
    </r>
    <r>
      <rPr>
        <b/>
        <sz val="18"/>
        <color indexed="8"/>
        <rFont val="Book Antiqua"/>
        <family val="1"/>
        <charset val="204"/>
      </rPr>
      <t>€</t>
    </r>
  </si>
  <si>
    <t>RA - терминал - регистратор; базовая модель</t>
  </si>
  <si>
    <t xml:space="preserve">R2P - терминал - регистратор с печатью этикеток и чеков / 2 индикатора </t>
  </si>
  <si>
    <t>EJ-123</t>
  </si>
  <si>
    <t>EJ-303</t>
  </si>
  <si>
    <t>EJ-120</t>
  </si>
  <si>
    <t>EJ-200</t>
  </si>
  <si>
    <t>EJ-300</t>
  </si>
  <si>
    <t>EJ-610</t>
  </si>
  <si>
    <t>EJ-1500</t>
  </si>
  <si>
    <t>EJ-2000</t>
  </si>
  <si>
    <t>EJ-3000</t>
  </si>
  <si>
    <t>EJ-6100</t>
  </si>
  <si>
    <t>127×140 мм</t>
  </si>
  <si>
    <t>Ø 70 мм</t>
  </si>
  <si>
    <t>HT-120</t>
  </si>
  <si>
    <t>HW-200KGL*</t>
  </si>
  <si>
    <t>HW-200KGV*</t>
  </si>
  <si>
    <t>EX-125D</t>
  </si>
  <si>
    <t>EX-125</t>
  </si>
  <si>
    <t>EX-225D</t>
  </si>
  <si>
    <t>EX-225D/AD</t>
  </si>
  <si>
    <t>52 г / 120 г</t>
  </si>
  <si>
    <t>заносим курс ЦБ на текущий день</t>
  </si>
  <si>
    <t>Лабораторные весы MWP (сертифицированы по ТУ)</t>
  </si>
  <si>
    <t>1600 г</t>
  </si>
  <si>
    <t>230×174 мм</t>
  </si>
  <si>
    <t>AX-124</t>
  </si>
  <si>
    <t>AX-124E</t>
  </si>
  <si>
    <t>AX-224</t>
  </si>
  <si>
    <t>AX-224E</t>
  </si>
  <si>
    <t>AX-324</t>
  </si>
  <si>
    <t>AX-223</t>
  </si>
  <si>
    <t>AX-223E</t>
  </si>
  <si>
    <t>AX-423</t>
  </si>
  <si>
    <t>AX-423E</t>
  </si>
  <si>
    <t>AX-523</t>
  </si>
  <si>
    <t>AX-523E</t>
  </si>
  <si>
    <t>AX-622</t>
  </si>
  <si>
    <t>AX-622E</t>
  </si>
  <si>
    <t>AX-1502</t>
  </si>
  <si>
    <t>AX-1502E</t>
  </si>
  <si>
    <t>AX-2202</t>
  </si>
  <si>
    <t>AX-2202E</t>
  </si>
  <si>
    <t>AX-4202</t>
  </si>
  <si>
    <t>AX-4202E</t>
  </si>
  <si>
    <t>AX-5202</t>
  </si>
  <si>
    <t>AX-4201</t>
  </si>
  <si>
    <t>AX-4201E</t>
  </si>
  <si>
    <t>AX-8201</t>
  </si>
  <si>
    <t>AX-8201E</t>
  </si>
  <si>
    <t>MB-27</t>
  </si>
  <si>
    <t>90 г</t>
  </si>
  <si>
    <t>SDR 01 - выносной индикатор</t>
  </si>
  <si>
    <t>МК-6.2-RA11</t>
  </si>
  <si>
    <t>МК-15.2-RA11</t>
  </si>
  <si>
    <t>МК-32.2-RA11</t>
  </si>
  <si>
    <t>340×244 мм</t>
  </si>
  <si>
    <t>МК-6.2-RP10</t>
  </si>
  <si>
    <t>МК-15.2-RP10</t>
  </si>
  <si>
    <t>МК-32.2-RP10</t>
  </si>
  <si>
    <t>МК-6.2-RP10-1</t>
  </si>
  <si>
    <t>МК-15.2-RP10-1</t>
  </si>
  <si>
    <t>МК-32.2-RP10-1</t>
  </si>
  <si>
    <t>МК-6.2-R2P10-1</t>
  </si>
  <si>
    <t>МК-15.2-R2P10-1</t>
  </si>
  <si>
    <t>МК-32.2-R2P10-1</t>
  </si>
  <si>
    <t>МК-6.2-R2P10</t>
  </si>
  <si>
    <t>МК-15.2-R2P10</t>
  </si>
  <si>
    <t>МК-32.2-R2P10</t>
  </si>
  <si>
    <t>AB-323CE</t>
  </si>
  <si>
    <t>AB-323RCE</t>
  </si>
  <si>
    <t>AB-623CE</t>
  </si>
  <si>
    <t>AB-623RCE</t>
  </si>
  <si>
    <t>AB-1202CE</t>
  </si>
  <si>
    <t>AB-1202RCE</t>
  </si>
  <si>
    <t>AB-3202CE</t>
  </si>
  <si>
    <t>AB-3202RCE</t>
  </si>
  <si>
    <t>AB-12001CE</t>
  </si>
  <si>
    <t>AB-12001RCE</t>
  </si>
  <si>
    <t>GP-60KS</t>
  </si>
  <si>
    <t>Лабораторные весы CUX / CUW (ГОСТ OIML R76-1-2011)</t>
  </si>
  <si>
    <t>Лабораторные весы CBL (сертифицированы по ТУ)</t>
  </si>
  <si>
    <t>Лабораторные весы CBX (сертифицированы по ТУ)</t>
  </si>
  <si>
    <t>Карманные весы RE (не сертифицированы)</t>
  </si>
  <si>
    <t>RE-250</t>
  </si>
  <si>
    <t>RE-500</t>
  </si>
  <si>
    <t>62×72 мм</t>
  </si>
  <si>
    <t>Настольные весы AD / AD-H (ГОСТ Р 53228-2008)</t>
  </si>
  <si>
    <t>Настольные весы PW (весы из нержавеющей стали, 100% пылевлагозащита) (ГОСТ Р 53228-2008)</t>
  </si>
  <si>
    <t>FW500-6Е</t>
  </si>
  <si>
    <t>FW500-15Е</t>
  </si>
  <si>
    <t>FW500-30Е</t>
  </si>
  <si>
    <t>Настольные весы SW (DD - двухдисплейные весы, W - влагозащищенные весы) (ГОСТ Р 53228-2008)</t>
  </si>
  <si>
    <t>SW-10W (DD)</t>
  </si>
  <si>
    <t>Настольные весы SWII (весы со светодиодным дисплеем, модели с буквой P - весы со стойкой, DD - двухдисплейные весы)
(ГОСТ Р 53228-2008)</t>
  </si>
  <si>
    <t>SWII-2 (DD)</t>
  </si>
  <si>
    <t>SWII-5 (DD)</t>
  </si>
  <si>
    <t>SWII-10 (DD)</t>
  </si>
  <si>
    <t>Счетные настольные весы EC (ГОСТ OIML R76-1-2011)</t>
  </si>
  <si>
    <t>Счетные настольные весы CS (ГОСТ Р 53228-2008)</t>
  </si>
  <si>
    <t>Счетные напольные весы AC (ГОСТ Р 53228-2008)</t>
  </si>
  <si>
    <t>AC-25</t>
  </si>
  <si>
    <t>AC-50</t>
  </si>
  <si>
    <t>AC-100</t>
  </si>
  <si>
    <t>390×510 мм</t>
  </si>
  <si>
    <t>Настольные и напольные весы BW (пылевлагозащищенные) (ГОСТ OIML R76-1-2011)</t>
  </si>
  <si>
    <t>Напольные весы DL (ГОСТ OIML R76-1-2011)</t>
  </si>
  <si>
    <t>Напольные весы DB/ND (ГОСТ OIML R76-1-2011)</t>
  </si>
  <si>
    <t>Напольные весы DBII-E (ГОСТ Р 53228-2008)</t>
  </si>
  <si>
    <t>DB II-60W</t>
  </si>
  <si>
    <t>DB II-150W</t>
  </si>
  <si>
    <t>DB II-300 6070</t>
  </si>
  <si>
    <t>DB II-300 7080</t>
  </si>
  <si>
    <t>DB II-300 8090</t>
  </si>
  <si>
    <t>DB II-600 6070</t>
  </si>
  <si>
    <t>DB II-600 7080</t>
  </si>
  <si>
    <t>DB II-600 8090</t>
  </si>
  <si>
    <t>600×700 мм</t>
  </si>
  <si>
    <t>700×800 мм</t>
  </si>
  <si>
    <t>800×900 мм</t>
  </si>
  <si>
    <t>Напольные весы PB (ГОСТ OIML R76-1-2011)</t>
  </si>
  <si>
    <t>Напольные весы DBII (с "W" - весы без стойки) (ГОСТ Р 53228-2008)</t>
  </si>
  <si>
    <t>Торговые весы PR (B - весы без стойки, P - весы со стойкой) (ГОСТ Р 53228-2008)</t>
  </si>
  <si>
    <t>Торговые весы ER JR (B - подсветка дисплея, U - весы со стойкой) (ГОСТ OIML R76-1-2011)</t>
  </si>
  <si>
    <t>Торговые весы AP (клавиши прямого доступа: 28 (EX), 7 (AP-M); ВТ - увеличенная платформа) (ГОСТ Р 53228-2008)</t>
  </si>
  <si>
    <t>CL5000-15P  TCP-IP</t>
  </si>
  <si>
    <t>CL5000J-6IB TCP-IP</t>
  </si>
  <si>
    <t>CL5000J-15IB TCP-IP</t>
  </si>
  <si>
    <t>CL5000J-30IB TCP-IP</t>
  </si>
  <si>
    <t>CL5000J-6IP TCP-IP</t>
  </si>
  <si>
    <t>CL5000J-15IP TCP-IP</t>
  </si>
  <si>
    <t>CL5000J-30IP TCP-IP</t>
  </si>
  <si>
    <t>CL5000J-15IS TCP-IP</t>
  </si>
  <si>
    <t>CL5000J-30IS TCP-IP</t>
  </si>
  <si>
    <t>CL5000J-15IH TCP-IP</t>
  </si>
  <si>
    <t>CL5000D-15D TCP-IP</t>
  </si>
  <si>
    <t>Сменный картридж к CL5000J</t>
  </si>
  <si>
    <t>WiFi карта к CL5000J</t>
  </si>
  <si>
    <t>Термоголовка к CL5000J</t>
  </si>
  <si>
    <t>380×244 мм</t>
  </si>
  <si>
    <t>430×290 мм</t>
  </si>
  <si>
    <t>375×266 мм</t>
  </si>
  <si>
    <t>LP-15 (v.1.6.) TCP-IP</t>
  </si>
  <si>
    <t>LP-15R (v.1.6.) TCP-IP</t>
  </si>
  <si>
    <t>LP-30 (v.1.6.) TCP-IP</t>
  </si>
  <si>
    <t>Торговые весы с чекопечатью LP (ГОСТ Р 53228-2008)</t>
  </si>
  <si>
    <t>Автомобильные подкладные весы RW-P (сертифицированы по ТУ)</t>
  </si>
  <si>
    <t>Гидравлическая тележка со встроенными весами CPS (ГОСТ OIML R76-1-2011)</t>
  </si>
  <si>
    <t>1350×540×1155 мм</t>
  </si>
  <si>
    <t>Встроенный принтер</t>
  </si>
  <si>
    <t>CPS-1</t>
  </si>
  <si>
    <t>CPS-2</t>
  </si>
  <si>
    <t>Крановые весы CASTON-I (ГОСТ Р 53228-2008)</t>
  </si>
  <si>
    <t>Крановые весы CASTON-III (ГОСТ Р 53228-2008)</t>
  </si>
  <si>
    <t>2 THD TWN</t>
  </si>
  <si>
    <t>5 THD TWN</t>
  </si>
  <si>
    <t>10 THD TWN</t>
  </si>
  <si>
    <t>15 THD TWN</t>
  </si>
  <si>
    <t>20 THD TWN</t>
  </si>
  <si>
    <t>Весы торговые с печатью этикеток CL5000/СL5000J/CL5000D (ГОСТ Р 53228-2008)
(I)B - без стойки / (I)H - подвесные / (I)Р - со стойкой / IS - весы самообслуживания</t>
  </si>
  <si>
    <t>Настольные весы FW500 (весы из нержавеющей стали, 100% пылевлагозащита IP-69) (ГОСТ OIML R 76-1-2011)</t>
  </si>
  <si>
    <t>247×212 мм</t>
  </si>
  <si>
    <t>Настольные весы ED-H (ГОСТ OIML R76-1-2011)</t>
  </si>
  <si>
    <t>293×218 мм</t>
  </si>
  <si>
    <t>395×510 мм</t>
  </si>
  <si>
    <t>Кабель для подключения к компьютеру</t>
  </si>
  <si>
    <t>CBM-910 II - микропринтер</t>
  </si>
  <si>
    <t>Питание от сухих батарей</t>
  </si>
  <si>
    <t>ВЛТЭ-3100</t>
  </si>
  <si>
    <t>ВЛТЭ-3100T</t>
  </si>
  <si>
    <t>ВЛТЭ-5100T</t>
  </si>
  <si>
    <t>ВЛТЭ-6100T</t>
  </si>
  <si>
    <t>ВПВ-12</t>
  </si>
  <si>
    <t>ВПВ-22</t>
  </si>
  <si>
    <t>ВПВ-32</t>
  </si>
  <si>
    <t>ВПВ-52</t>
  </si>
  <si>
    <t>ВПВ-12С</t>
  </si>
  <si>
    <t>ВПВ-22С</t>
  </si>
  <si>
    <t>ВПВ-32С</t>
  </si>
  <si>
    <t>350×320 мм</t>
  </si>
  <si>
    <t>ВПТ-12</t>
  </si>
  <si>
    <t>ВПТ-22</t>
  </si>
  <si>
    <t>ВПТ-32</t>
  </si>
  <si>
    <t>ВПТ-52</t>
  </si>
  <si>
    <t>III средний</t>
  </si>
  <si>
    <t>ВПС-15</t>
  </si>
  <si>
    <t>ВПС-30</t>
  </si>
  <si>
    <t>ВПС-60</t>
  </si>
  <si>
    <t>RP - терминал - регистратор с печатью этикеток и чеков</t>
  </si>
  <si>
    <t>DL-63</t>
  </si>
  <si>
    <t>DL-123</t>
  </si>
  <si>
    <t>DL-213</t>
  </si>
  <si>
    <t>DL-313</t>
  </si>
  <si>
    <t>DL-413</t>
  </si>
  <si>
    <t>DL-513</t>
  </si>
  <si>
    <t>80 мм</t>
  </si>
  <si>
    <t>DL-122</t>
  </si>
  <si>
    <t>DL-212</t>
  </si>
  <si>
    <t>DL-312</t>
  </si>
  <si>
    <t>DL-612</t>
  </si>
  <si>
    <t>DL-1102</t>
  </si>
  <si>
    <t>DL-2102</t>
  </si>
  <si>
    <t>DL-3102</t>
  </si>
  <si>
    <t>DL-4102</t>
  </si>
  <si>
    <t>DL-5102</t>
  </si>
  <si>
    <t>130 мм</t>
  </si>
  <si>
    <t>160 мм</t>
  </si>
  <si>
    <t>DL-10001</t>
  </si>
  <si>
    <t>DL-15001</t>
  </si>
  <si>
    <t>DL-6000</t>
  </si>
  <si>
    <t>MB-90</t>
  </si>
  <si>
    <t>MB-120</t>
  </si>
  <si>
    <t>MC-2000</t>
  </si>
  <si>
    <t>3% - 45% / 0,1%</t>
  </si>
  <si>
    <t>Точность определения влажности</t>
  </si>
  <si>
    <t>6.1 кг</t>
  </si>
  <si>
    <t>DL-6101</t>
  </si>
  <si>
    <t>STX-123</t>
  </si>
  <si>
    <t>STX-223</t>
  </si>
  <si>
    <t>STX-222</t>
  </si>
  <si>
    <t>STX-422</t>
  </si>
  <si>
    <t>STX-622</t>
  </si>
  <si>
    <t>STX-1202</t>
  </si>
  <si>
    <t>STX-2202</t>
  </si>
  <si>
    <t>STX-421</t>
  </si>
  <si>
    <t>STX-621</t>
  </si>
  <si>
    <t>STX-2201</t>
  </si>
  <si>
    <t>STX-6201</t>
  </si>
  <si>
    <t>STX-8200</t>
  </si>
  <si>
    <t>Ø 93 мм</t>
  </si>
  <si>
    <t>SPX-123</t>
  </si>
  <si>
    <t>SPX-223</t>
  </si>
  <si>
    <t>SPX-222</t>
  </si>
  <si>
    <t>SPX-422</t>
  </si>
  <si>
    <t>SPX-622</t>
  </si>
  <si>
    <t>SPX-1202</t>
  </si>
  <si>
    <t>SPX-2202</t>
  </si>
  <si>
    <t>SPX-421</t>
  </si>
  <si>
    <t>SPX-621</t>
  </si>
  <si>
    <t>SPX-2201</t>
  </si>
  <si>
    <t>SPX-6201</t>
  </si>
  <si>
    <t>SPX-8200</t>
  </si>
  <si>
    <t>SJX-323</t>
  </si>
  <si>
    <t>SJX-323/E</t>
  </si>
  <si>
    <t>SJX-322/E</t>
  </si>
  <si>
    <t>SJX-622</t>
  </si>
  <si>
    <t>SJX-622/E</t>
  </si>
  <si>
    <t>SJX-1502</t>
  </si>
  <si>
    <t>SJX-1502/E</t>
  </si>
  <si>
    <t>SJX-621/E</t>
  </si>
  <si>
    <t>SJX-3201/E</t>
  </si>
  <si>
    <t>SJX-6201</t>
  </si>
  <si>
    <t>SJX-6201/E</t>
  </si>
  <si>
    <t>SJX-8200/E</t>
  </si>
  <si>
    <t>64 г (320 карат)</t>
  </si>
  <si>
    <t>0.001 г (0.005 карат)</t>
  </si>
  <si>
    <t>Внешний индикатор</t>
  </si>
  <si>
    <t>EX-12001</t>
  </si>
  <si>
    <t>EX-24001</t>
  </si>
  <si>
    <t>EX-32001</t>
  </si>
  <si>
    <t>377×311 мм</t>
  </si>
  <si>
    <t>DL-60</t>
  </si>
  <si>
    <t>DL-100</t>
  </si>
  <si>
    <t>DL-150</t>
  </si>
  <si>
    <t>MSC-10</t>
  </si>
  <si>
    <t>MSC-25</t>
  </si>
  <si>
    <t>250×215 мм</t>
  </si>
  <si>
    <t>MS-10</t>
  </si>
  <si>
    <t>MS-25</t>
  </si>
  <si>
    <t>310×220 мм</t>
  </si>
  <si>
    <t>MSWE-15</t>
  </si>
  <si>
    <t>MSWE-30</t>
  </si>
  <si>
    <t>210×175 мм</t>
  </si>
  <si>
    <t>Фасовочные влагозащищенные весы MSWE-D со вторым дисплеем на обратной стороне (класс защиты IP-67)
(ГОСТ OIML R76-1-2011)</t>
  </si>
  <si>
    <t>Фасовочные влагозащищенные весы MSWE (класс защиты IP-67)
(ГОСТ OIML R76-1-2011)</t>
  </si>
  <si>
    <t>Фасовочные весы MS
(ГОСТ OIML R76-1-2011)</t>
  </si>
  <si>
    <t>Фасовочные весы MSC-D со вторым дисплеем на обратной стороне
(ГОСТ OIML R76-1-2011)</t>
  </si>
  <si>
    <t>MSWE-15D</t>
  </si>
  <si>
    <t>MSWE-30D</t>
  </si>
  <si>
    <t>Счетные весы MС2
(ГОСТ OIML R76-1-2011)</t>
  </si>
  <si>
    <t>MC2-10</t>
  </si>
  <si>
    <t>MC2-25</t>
  </si>
  <si>
    <t>MSC-5</t>
  </si>
  <si>
    <t>MS-5</t>
  </si>
  <si>
    <t>MSWE-3</t>
  </si>
  <si>
    <t>MSWE-6</t>
  </si>
  <si>
    <t>MSWE-3D</t>
  </si>
  <si>
    <t>MSWE-6D</t>
  </si>
  <si>
    <t>MC2-5</t>
  </si>
  <si>
    <t>1/2 г</t>
  </si>
  <si>
    <t>2/5 г</t>
  </si>
  <si>
    <t>5/10 г</t>
  </si>
  <si>
    <t>Торговые весы MR1 без стойки
(ГОСТ OIML R76-1-2011)</t>
  </si>
  <si>
    <t>MR1-6</t>
  </si>
  <si>
    <t>MR1-15</t>
  </si>
  <si>
    <t>MR1-30</t>
  </si>
  <si>
    <t>Торговые весы MR1-P со стойкой
(ГОСТ OIML R76-1-2011)</t>
  </si>
  <si>
    <t>MR1-6P</t>
  </si>
  <si>
    <t>MR1-15P</t>
  </si>
  <si>
    <t>MR1-30P</t>
  </si>
  <si>
    <t>Товарные весы PM1E (светодиодный индикатор)
(ГОСТ OIML R76-1-2011)</t>
  </si>
  <si>
    <t>10/20 г</t>
  </si>
  <si>
    <t>20/50 г</t>
  </si>
  <si>
    <t>50/100 г</t>
  </si>
  <si>
    <t>100/200 г</t>
  </si>
  <si>
    <t>Лабораторные весы XE (ГОСТ OIML R76-1-2011)</t>
  </si>
  <si>
    <t>XE-300</t>
  </si>
  <si>
    <t>XE-600</t>
  </si>
  <si>
    <t>XE-1500</t>
  </si>
  <si>
    <t>XE-3000</t>
  </si>
  <si>
    <t>XE-6000</t>
  </si>
  <si>
    <t>CD-300 - дополнительный выносной дисплей</t>
  </si>
  <si>
    <t>Ø 128 мм</t>
  </si>
  <si>
    <t>155×143 мм</t>
  </si>
  <si>
    <t>Товарные весы PM1B (жидкокристаллический индикатор)
(ГОСТ OIML R76-1-2011)</t>
  </si>
  <si>
    <t>50/100 кг</t>
  </si>
  <si>
    <t>60/150 кг</t>
  </si>
  <si>
    <t>150/300 кг</t>
  </si>
  <si>
    <t>300/500 кг</t>
  </si>
  <si>
    <t>Товарные весы PM1H (жидкокристаллический индикатор). Пыле-влагозащищенные весы. Класс защиты IP-65.
(ГОСТ OIML R76-1-2011)</t>
  </si>
  <si>
    <t>SWN-3</t>
  </si>
  <si>
    <t>SWN-6</t>
  </si>
  <si>
    <t>SWN-15</t>
  </si>
  <si>
    <t>SWN-30</t>
  </si>
  <si>
    <t>SWN-3 (DD)</t>
  </si>
  <si>
    <t>SWN-6 (DD)</t>
  </si>
  <si>
    <t>SWN-15 (DD)</t>
  </si>
  <si>
    <t>SWN-30 (DD)</t>
  </si>
  <si>
    <t>226×187 мм</t>
  </si>
  <si>
    <t>Анализаторы вязкости SV (вискозиметры)
(сертифицированы по ТУ, не имеют класса точности)</t>
  </si>
  <si>
    <t>Счетные весы FC-i
(сертифицированы по ТУ, не имеют класса точности)</t>
  </si>
  <si>
    <t>DA-65C</t>
  </si>
  <si>
    <t>DA-125DC</t>
  </si>
  <si>
    <t>DA-225DC</t>
  </si>
  <si>
    <t>62 г</t>
  </si>
  <si>
    <t>DA-124</t>
  </si>
  <si>
    <t>DA-124С</t>
  </si>
  <si>
    <t>DA-224</t>
  </si>
  <si>
    <t>DA-224C</t>
  </si>
  <si>
    <t>DA-314C</t>
  </si>
  <si>
    <t>DA-514C</t>
  </si>
  <si>
    <t>DA-223C</t>
  </si>
  <si>
    <t>DA-333C</t>
  </si>
  <si>
    <t>DA-523C</t>
  </si>
  <si>
    <t>DA-723C</t>
  </si>
  <si>
    <t>DA-1003C</t>
  </si>
  <si>
    <t>DA-1203C</t>
  </si>
  <si>
    <t>DA-2103C</t>
  </si>
  <si>
    <t>330 г</t>
  </si>
  <si>
    <t>110 мм</t>
  </si>
  <si>
    <t>DA-2202C</t>
  </si>
  <si>
    <t>DA-3102C</t>
  </si>
  <si>
    <t>DA-4202C</t>
  </si>
  <si>
    <t>DA-5202C</t>
  </si>
  <si>
    <t>DA-6202C</t>
  </si>
  <si>
    <t>DA-8202</t>
  </si>
  <si>
    <t>Анализатор влажности MD
(сертифицирован по ТУ, класс точности не предусмотрен)</t>
  </si>
  <si>
    <t>AF-225DRCE</t>
  </si>
  <si>
    <t>AF-224RCE</t>
  </si>
  <si>
    <t>Аналитические весы HT
(ГОСТ OIML R76-1-2011)</t>
  </si>
  <si>
    <t>HT-84CE</t>
  </si>
  <si>
    <t>HT-84RCE</t>
  </si>
  <si>
    <t>HT-124CE</t>
  </si>
  <si>
    <t>HT-124RCE</t>
  </si>
  <si>
    <t>HT-224CE</t>
  </si>
  <si>
    <t>HT-224RCE</t>
  </si>
  <si>
    <t>0.001 карат
(0.0002 г)</t>
  </si>
  <si>
    <t>600 карат
(120 г)</t>
  </si>
  <si>
    <t>0.01 карат
(0.002 г)</t>
  </si>
  <si>
    <t>1600 карат
(320 г)</t>
  </si>
  <si>
    <t>Лабораторные весы LN
(ГОСТ OIML R76-1-2011)</t>
  </si>
  <si>
    <t>LN-223CE</t>
  </si>
  <si>
    <t>LN-223RCE</t>
  </si>
  <si>
    <t>LN-323CE</t>
  </si>
  <si>
    <t>LN-323RCE</t>
  </si>
  <si>
    <t>LN-423CE</t>
  </si>
  <si>
    <t>LN-423RCE</t>
  </si>
  <si>
    <t>LN-623CE</t>
  </si>
  <si>
    <t>LN-623RCE</t>
  </si>
  <si>
    <t>LN-1202CE</t>
  </si>
  <si>
    <t>LN-1202RCE</t>
  </si>
  <si>
    <t>LN-2202CE</t>
  </si>
  <si>
    <t>LN-2202RCE</t>
  </si>
  <si>
    <t>LN-3202CE</t>
  </si>
  <si>
    <t>LN-3202RCE</t>
  </si>
  <si>
    <t>LN-4202CE</t>
  </si>
  <si>
    <t>LN-4202RCE</t>
  </si>
  <si>
    <t>LN-6202CE</t>
  </si>
  <si>
    <t>LN-8201CE</t>
  </si>
  <si>
    <t>LN-12001CE</t>
  </si>
  <si>
    <t>LN-15001CE</t>
  </si>
  <si>
    <t>LN-21001CE</t>
  </si>
  <si>
    <t>LN-31001CE</t>
  </si>
  <si>
    <t>LNDK - комплект для измерения плотности (для весов с d=0.001г)</t>
  </si>
  <si>
    <t>AJUH(M) - крюк для взвешивания под весами (для весов с Max 1200 г и более)</t>
  </si>
  <si>
    <t>LNBT - аккумуляторная батарея (только для весов с внешней калибровкой)</t>
  </si>
  <si>
    <t>Лабораторные весы AJ
(ГОСТ OIML R76-1-2011)</t>
  </si>
  <si>
    <t>Лабораторные весы AB
(ГОСТ OIML R76-1-2011)</t>
  </si>
  <si>
    <t>Лабораторные весы CJ (ГОСТ OIML R76-1-2011)
(полностью пылевлагозащищенные весы из нержавеющей стали)</t>
  </si>
  <si>
    <t>Лабораторные весы HJ (ГОСТ OIML R76-1-2011)
(большегрузные весы с повышенной точностью)</t>
  </si>
  <si>
    <t>120 г / 220 г</t>
  </si>
  <si>
    <t>EX-225/AD</t>
  </si>
  <si>
    <t>DX-500</t>
  </si>
  <si>
    <t>DX-5000</t>
  </si>
  <si>
    <t>Микроаналитические весы AF
(ГОСТ OIML R76-1-2011)</t>
  </si>
  <si>
    <t>Внешний интерфейс RS-232С в Ethernet</t>
  </si>
  <si>
    <t>Аналитические весы AF
(ГОСТ OIML R76-1-2011)</t>
  </si>
  <si>
    <t>Ювелирные весы CT (G - высокая ветрозащита)
(ГОСТ OIML R76-1-2011)</t>
  </si>
  <si>
    <t>ALE-223R</t>
  </si>
  <si>
    <t>ALE-223</t>
  </si>
  <si>
    <t>ALE-323R</t>
  </si>
  <si>
    <t>ALE-323</t>
  </si>
  <si>
    <t>ALE-623R</t>
  </si>
  <si>
    <t>ALE-623</t>
  </si>
  <si>
    <t>ALE-1502R</t>
  </si>
  <si>
    <t>ALE-1502</t>
  </si>
  <si>
    <t>ALE-2202R</t>
  </si>
  <si>
    <t>ALE-2202</t>
  </si>
  <si>
    <t>ALE-3202R</t>
  </si>
  <si>
    <t>ALE-3202</t>
  </si>
  <si>
    <t>ALE-6202R</t>
  </si>
  <si>
    <t>ALE-6202</t>
  </si>
  <si>
    <t>ALE-8201R</t>
  </si>
  <si>
    <t>ALE-8201</t>
  </si>
  <si>
    <t>ALE-15001R</t>
  </si>
  <si>
    <t>ALE-15001</t>
  </si>
  <si>
    <t>160×180 мм</t>
  </si>
  <si>
    <t>ALE-ETH - выход Ethernet</t>
  </si>
  <si>
    <t>ALE-DK - комплект для измерения плотности</t>
  </si>
  <si>
    <t>ALE-RS - дополнительный выход RS232C</t>
  </si>
  <si>
    <t>ALE-LM - контакт реле</t>
  </si>
  <si>
    <t>ALE-UH(S) - крюк для взвешивания под весами (для весов с Max от 220 г до 1200 г)</t>
  </si>
  <si>
    <t>ALE-UH(M) - крюк для взвешивания под весами (для весов с Max от 1500 г до 15 кг)</t>
  </si>
  <si>
    <t>Счетные (настольные) весы AC-100</t>
  </si>
  <si>
    <t>Лабораторные весы EK-i / EW-i 
(ГОСТ OIML R76-1-2011)</t>
  </si>
  <si>
    <t>Карманные весы HJ
(не сертифицируются и не поверяются)</t>
  </si>
  <si>
    <t>Платформенные весы для контрольного взвешивания FS-i
(ГОСТ OIML R76-1-2011)</t>
  </si>
  <si>
    <t>Платформенные весы FG (со стойкой - "А", без стойки - "В", большая платформа - "L", малая платформа - "M")
(ГОСТ OIML R76-1-2011)</t>
  </si>
  <si>
    <t>АВГ-60</t>
  </si>
  <si>
    <t>Цена деления по весу / влажности</t>
  </si>
  <si>
    <t>Ø 95 мм</t>
  </si>
  <si>
    <t>Набор для определения плотности SMK-401</t>
  </si>
  <si>
    <t>Внешняя клавиатура ПВК-1</t>
  </si>
  <si>
    <t>Выносной пульт с возможностью индикации и управления весами ВП-1</t>
  </si>
  <si>
    <t>Ионизатор для удаления статического электричества с образцов STABLO AP</t>
  </si>
  <si>
    <t>ВЛТЭ-410С</t>
  </si>
  <si>
    <t>Выносной пульт с возможностью индикации и управления весами ВП-2</t>
  </si>
  <si>
    <t>Аналитические весы СЕ
(ГОСТ Р 53228-2008)</t>
  </si>
  <si>
    <t>Лабораторные весы СЕ
(ГОСТ Р 53228-2008)</t>
  </si>
  <si>
    <t>Лабораторные весы ВМ-II
(ГОСТ OIML R76-1-2011), регистрационный номер № 52773-13</t>
  </si>
  <si>
    <t>Аналитические весы АВ ("А" - витрина белого цвета, "С" - исполнение с повышенной защитой от коррозии,
"М" - автоматическая калибровка встроенной гирей при изменении температуры и по времени)
(ГОСТ OIML R76-1-2011), регистрационный номер № 54970-13</t>
  </si>
  <si>
    <t>Микроаналитические и аналитические весы CAUY / CAUX / CAUW
(ГОСТ OIML R76-1-2011), номер в госреестре № 50692-12</t>
  </si>
  <si>
    <t>Микроаналитические весы DA
(ГОСТ OIML R76-1-2011), регистрационный номер № 69482-17</t>
  </si>
  <si>
    <t>Аналитические весы DA
(ГОСТ OIML R76-1-2011), регистрационный номер № 69482-17</t>
  </si>
  <si>
    <t>Лабораторные весы DA
(ГОСТ OIML R76-1-2011), регистрационный номер № 69482-17</t>
  </si>
  <si>
    <t>Лабораторные весы DL
(ГОСТ OIML R76-1-2011), регистрационный номер № 63847-16</t>
  </si>
  <si>
    <t>Аналитические весы CY
(ГОСТ OIML R76-1-2011), регистрационный номер № 57917-14</t>
  </si>
  <si>
    <t>Лабораторные весы ALE
(ГОСТ OIML R76-1-2011), регистрационный номер № 70043-17</t>
  </si>
  <si>
    <t>Лабораторные весы ВК
(ГОСТ Р 53228-2008), регистрационный номер № 48026-11</t>
  </si>
  <si>
    <r>
      <t xml:space="preserve">Настольные весы МК-А
(ГОСТ OIML R76-1-2011), регистрационный номер № 55369-13
</t>
    </r>
    <r>
      <rPr>
        <b/>
        <sz val="12"/>
        <color theme="0"/>
        <rFont val="Book Antiqua"/>
        <family val="1"/>
        <charset val="204"/>
      </rPr>
      <t>МК-А20              - светодиодный дисплей / без аккумулятора / без интерфейсов
МК-А11              - жидкокристаллический дисплей / встроенный аккумулятор / без интерфейсов
МК-А21              - светодиодный дисплей / встроенный аккумулятор / без интерфейсов
МК-А21 (RU)     - светодиодный дисплей / встроенный аккумулятор / два интерфейса: RS-232 и USB-B
МК-А21 (RUW) - светодиодный дисплей / встроенный аккумулятор / два интерфейса: RS-232 и USB-B / передача по Wi-Fi
МК-А21 (RI)      - светодиодный дисплей / встроенный аккумулятор / интерфейс RS-232 / разъем для подключения выносного индикатора
МК-А21 (UI)      - светодиодный дисплей / встроенный аккумулятор / интерфейс USB-B / разъем для подключения выносного индикатора
МК-А21 (UE)     - светодиодный дисплей / встроенный аккумулятор / два интерфейса: USB-B и Ethernet</t>
    </r>
  </si>
  <si>
    <t>МК-3.2-А21 (RU)</t>
  </si>
  <si>
    <t>МК-6.2-А21 (RU)</t>
  </si>
  <si>
    <t>МК-15.2-А21 (RU)</t>
  </si>
  <si>
    <t>МК-32.2-А21 (RU)</t>
  </si>
  <si>
    <t>МК-3.2-А21 (RUW)</t>
  </si>
  <si>
    <t>МК-6.2-А21 (RUW)</t>
  </si>
  <si>
    <t>МК-15.2-А21 (RUW)</t>
  </si>
  <si>
    <t>МК-32.2-А21 (RUW)</t>
  </si>
  <si>
    <t>МК-3.2-А21 (RI)</t>
  </si>
  <si>
    <t>МК-6.2-А21 (RI)</t>
  </si>
  <si>
    <t>МК-15.2-А21 (RI)</t>
  </si>
  <si>
    <t>МК-32.2-А21 (RI)</t>
  </si>
  <si>
    <t>МК-3.2-А21 (UI)</t>
  </si>
  <si>
    <t>МК-6.2-А21 (UI)</t>
  </si>
  <si>
    <t>МК-15.2-А21 (UI)</t>
  </si>
  <si>
    <t>МК-32.2-А21 (UI)</t>
  </si>
  <si>
    <t>МК-3.2-А21 (UE)</t>
  </si>
  <si>
    <t>МК-6.2-А21 (UE)</t>
  </si>
  <si>
    <t>МК-15.2-А21 (UE)</t>
  </si>
  <si>
    <t>МК-32.2-А21 (UE)</t>
  </si>
  <si>
    <t>ИВ-3С - дополнительный выносной индикатор (только для моделей МК-А21 (RI) и МК-А21 (UI))</t>
  </si>
  <si>
    <t>Счетные весы МК-С21
(ГОСТ OIML R76-1-2011), регистрационный номер № 55369-13</t>
  </si>
  <si>
    <t>Настольные весы МК-АВ11 (влагозащищенные, ЖК индикатор, с аккумулятором)
(ГОСТ OIML R76-1-2011), регистрационный номер № 55369-13</t>
  </si>
  <si>
    <t>Настольные весы МК-АВ20 (влагозащищенные, светодиодный индикатор, без аккумулятора)
(ГОСТ OIML R76-1-2011), регистрационный номер № 55369-13</t>
  </si>
  <si>
    <t>Торговые весы МК-Т21 (весы с выносным индикатором)
(ГОСТ OIML R76-1-2011), регистрационный номер № 55369-13</t>
  </si>
  <si>
    <t>Торговые весы МК-ТН11 (ЖК индикатор, с аккумулятором)
(ГОСТ OIML R76-1-2011), регистрационный номер № 55369-13</t>
  </si>
  <si>
    <r>
      <t xml:space="preserve">Торговые весы МК-ТН21 (светодиодный индикатор, клавиатура снизу)
(ГОСТ OIML R76-1-2011), регистрационный номер № 55369-13
</t>
    </r>
    <r>
      <rPr>
        <b/>
        <sz val="12"/>
        <color theme="0"/>
        <rFont val="Book Antiqua"/>
        <family val="1"/>
        <charset val="204"/>
      </rPr>
      <t>МК-ТН21            - светодиодный дисплей / встроенный аккумулятор / без интерфейсов
МК-ТН21 (RU)   - светодиодный дисплей / встроенный аккумулятор / два интерфейса: RS-232 и USB-B</t>
    </r>
  </si>
  <si>
    <t>МК-6.2-ТН21 (RU)</t>
  </si>
  <si>
    <t>МК-15.2-ТН21 (RU)</t>
  </si>
  <si>
    <t>МК-32.2-ТН21 (RU)</t>
  </si>
  <si>
    <t>Весы-регистраторы МК-RA11 (базовая модель)
(ГОСТ OIML R76-1-2011), регистрационный номер № 55369-13</t>
  </si>
  <si>
    <t>Весы-регистраторы МК-RP10 (фасовочные весы с печатью этикеток, без подмотки)
(ГОСТ OIML R76-1-2011), регистрационный номер № 55369-13</t>
  </si>
  <si>
    <t>Весы-регистраторы МК-RP10-1 (фасовочные весы с печатью этикеток, с подмоткой)
(ГОСТ OIML R76-1-2011), регистрационный номер № 55369-13</t>
  </si>
  <si>
    <t>Весы-регистраторы МК-R2P10-1 (торговые весы с печатью этикеток, с подмоткой)
(ГОСТ OIML R76-1-2011), регистрационный номер № 55369-13</t>
  </si>
  <si>
    <t>Весы-регистраторы МК-R2P10 (торговые весы с печатью этикеток, без подмотки)
(ГОСТ OIML R76-1-2011), регистрационный номер № 55369-13</t>
  </si>
  <si>
    <t>МК-6.2-RL10-1</t>
  </si>
  <si>
    <t>МК-15.2-RL10-1</t>
  </si>
  <si>
    <t>МК-32.2-RL10-1</t>
  </si>
  <si>
    <t>Весы-регистраторы МК-RL10-1 (фасовочные с печатью этикеток, пыле- и влагозащищенный корпус)
(ГОСТ OIML R76-1-2011), регистрационный номер № 55369-13</t>
  </si>
  <si>
    <t>336×240 мм</t>
  </si>
  <si>
    <t>Весы-регистраторы МК-R2L10-1 (торговые с печатью этикеток, пыле- и влагозащищенный корпус)
(ГОСТ OIML R76-1-2011), регистрационный номер № 55369-13</t>
  </si>
  <si>
    <t>МК-6.2-R2L10-1</t>
  </si>
  <si>
    <t>МК-15.2-R2L10-1</t>
  </si>
  <si>
    <t>МК-32.2-R2L10-1</t>
  </si>
  <si>
    <t>Напольные весы ТВ-M-А (А1 - без стойки, А3 - стационарная стойка)
(ГОСТ Р 53228-2008), регистрационный номер № 48166-13</t>
  </si>
  <si>
    <t>Медицинские весы ВЭМ-150 (А1 - без стойки, А2 - складная стойка, А3 - стационарная стойка, НДС не облагаются)
(OIML R76-1-2011), регистрационный номер № 27276-14</t>
  </si>
  <si>
    <t>Детские весы В1-15 "САША" (для взвешивания новорожденных, НДС не облагаются)
(OIML R76-1-2011), регистрационный номер № 16720-14</t>
  </si>
  <si>
    <t>Крановые весы ЕК (А - обычное исполнение, СМ - радиоканальное исполнение)
(ГОСТ Р 53228-2008), регистрационный номер № 48511-11</t>
  </si>
  <si>
    <t>1200×1000 мм</t>
  </si>
  <si>
    <t>Опции:</t>
  </si>
  <si>
    <t>RL - терминал-регистратор с печатью этикеток</t>
  </si>
  <si>
    <t>R2L - терминал-регистратор с печатью этикеток / 2 индикатора</t>
  </si>
  <si>
    <r>
      <t xml:space="preserve">Анализаторы влажности MA
(сертифицированы по ТУ)
</t>
    </r>
    <r>
      <rPr>
        <b/>
        <sz val="14"/>
        <color rgb="FFFF0000"/>
        <rFont val="Book Antiqua"/>
        <family val="1"/>
        <charset val="204"/>
      </rPr>
      <t>МА-150 снят с производства, в остатках нет.</t>
    </r>
  </si>
  <si>
    <t>ВЛ-64</t>
  </si>
  <si>
    <t>ВЛ-84В</t>
  </si>
  <si>
    <t>82 г</t>
  </si>
  <si>
    <t>ВЛ-84В-С</t>
  </si>
  <si>
    <t>внутренняя
самокалибровка</t>
  </si>
  <si>
    <t>ВЛ-124В-С</t>
  </si>
  <si>
    <t>ВЛ-224В-С</t>
  </si>
  <si>
    <t>ВЛ-324</t>
  </si>
  <si>
    <t>ВЛ-324В</t>
  </si>
  <si>
    <t>ВЛ-324В-С</t>
  </si>
  <si>
    <t>Набор для определения плотности SMK-401 (только для ВЛ-С)</t>
  </si>
  <si>
    <t>Набор для определения плотности SMK-101 (для 170×180 мм) / SMK-102 (для 108×105 мм) / для ВЛЭ-223С невозможен вообще</t>
  </si>
  <si>
    <t>Лабораторные весы JW-1
(ГОСТ OIML R76-1-2011), регистрационный номер № 70462-18</t>
  </si>
  <si>
    <t>Счетные (настольные) весы JW-1C
(ГОСТ OIML R76-1-2011), регистрационный номер № 70462-18</t>
  </si>
  <si>
    <t>Торговые весы МК-ТВ21 (светодиодный индикатор, встроенный аккумулятор, без интерфейсов, клавиатура сверху)
(ГОСТ OIML R76-1-2011), регистрационный номер № 55369-13</t>
  </si>
  <si>
    <t>Терминал А (RUEW) / наличие RS-232, USB, Ethernet и Wi-Fi</t>
  </si>
  <si>
    <t>Терминал А / наличие RS-232</t>
  </si>
  <si>
    <t>Терминал АВ / влагозащищенный из нержавеющей стали</t>
  </si>
  <si>
    <t>Терминал АВ (RUEW) / влагозащищенный из нержавеющей стали / наличие RS-232, USB, Ethernet и Wi-Fi</t>
  </si>
  <si>
    <t>MC-100KS</t>
  </si>
  <si>
    <t>PX-84</t>
  </si>
  <si>
    <t>PX-85</t>
  </si>
  <si>
    <t>PX-125D</t>
  </si>
  <si>
    <t>PX-225D</t>
  </si>
  <si>
    <t>PX-84/E</t>
  </si>
  <si>
    <t>PX-124/E</t>
  </si>
  <si>
    <t>PX-124</t>
  </si>
  <si>
    <t>PX-224/E</t>
  </si>
  <si>
    <t>PX-224</t>
  </si>
  <si>
    <t>EX-35001</t>
  </si>
  <si>
    <t>35 кг</t>
  </si>
  <si>
    <t>PX-163/E</t>
  </si>
  <si>
    <t>PX-163</t>
  </si>
  <si>
    <t>PX-223/E</t>
  </si>
  <si>
    <t>PX-223</t>
  </si>
  <si>
    <t>PX-323/E</t>
  </si>
  <si>
    <t>PX-323</t>
  </si>
  <si>
    <t>PX-423/E</t>
  </si>
  <si>
    <t>PX-423</t>
  </si>
  <si>
    <t>PX-523/E</t>
  </si>
  <si>
    <t>PX-523</t>
  </si>
  <si>
    <t>PX-822/E</t>
  </si>
  <si>
    <t>PX-822</t>
  </si>
  <si>
    <t>PX-1602/E</t>
  </si>
  <si>
    <t>PX-1602</t>
  </si>
  <si>
    <t>PX-2202/E</t>
  </si>
  <si>
    <t>PX-2202</t>
  </si>
  <si>
    <t>PX-3202/E</t>
  </si>
  <si>
    <t>PX-3202</t>
  </si>
  <si>
    <t>PX-4202/E</t>
  </si>
  <si>
    <t>PX-4202</t>
  </si>
  <si>
    <t>PX-5202/E</t>
  </si>
  <si>
    <t>PX-5202</t>
  </si>
  <si>
    <t>PX-2201/E</t>
  </si>
  <si>
    <t>PX-2201</t>
  </si>
  <si>
    <t>PX-4201/E</t>
  </si>
  <si>
    <t>PX-4201</t>
  </si>
  <si>
    <t>PX-6201/E</t>
  </si>
  <si>
    <t>PX-8201/E</t>
  </si>
  <si>
    <t>160 г</t>
  </si>
  <si>
    <t>Анализатор влажности зерна
(не сертифицированы, поставляются без поверки)</t>
  </si>
  <si>
    <t>ВМ-24001 для поверки</t>
  </si>
  <si>
    <t>SWN-6 USB</t>
  </si>
  <si>
    <t>SWN-15 USB</t>
  </si>
  <si>
    <t>Платформа из нержавеющей стали для весов SWN</t>
  </si>
  <si>
    <t>Порт USB</t>
  </si>
  <si>
    <t>PR-6B (LCD, II)</t>
  </si>
  <si>
    <t>PR-6P (LCD, II)</t>
  </si>
  <si>
    <t>PR-15B (LCD, II)</t>
  </si>
  <si>
    <t>PR-15P (LCD, II)</t>
  </si>
  <si>
    <t>PR-30B (LCD, II)</t>
  </si>
  <si>
    <t>PR-30P (LCD, II)</t>
  </si>
  <si>
    <t>RW-10-2</t>
  </si>
  <si>
    <t>RW-15-2</t>
  </si>
  <si>
    <t>Лабораторные весы EX (Explorer)
(ГОСТ OIML R76-1-2011), регистрационный номер № 68363-17</t>
  </si>
  <si>
    <r>
      <t xml:space="preserve">Микроаналитические весы EX (Explorer)
</t>
    </r>
    <r>
      <rPr>
        <b/>
        <sz val="14"/>
        <color indexed="13"/>
        <rFont val="Book Antiqua"/>
        <family val="1"/>
        <charset val="204"/>
      </rPr>
      <t>Модели с "/AD" - имеют автоматические дверцы ветрозащиты и только в этих моделях встроенный ионизатор</t>
    </r>
    <r>
      <rPr>
        <b/>
        <sz val="14"/>
        <color indexed="9"/>
        <rFont val="Book Antiqua"/>
        <family val="1"/>
        <charset val="204"/>
      </rPr>
      <t xml:space="preserve">
(ГОСТ OIML R76-1-2011), регистрационный номер № 68363-17</t>
    </r>
  </si>
  <si>
    <t>10 г / 20 г /50 г</t>
  </si>
  <si>
    <t>ВЛА-120C</t>
  </si>
  <si>
    <t>ВЛА-120С-O</t>
  </si>
  <si>
    <t>ВЛА-220C</t>
  </si>
  <si>
    <t>ВЛА-220С-O</t>
  </si>
  <si>
    <t>ВЛА-320C</t>
  </si>
  <si>
    <t>ВЛА-320С-O</t>
  </si>
  <si>
    <t>Набор для определения плотности SMK-601</t>
  </si>
  <si>
    <t>Сканер штрих кодов - для серии ВЛА-С-О</t>
  </si>
  <si>
    <t>ВЛА-120М</t>
  </si>
  <si>
    <t>ВЛА-135М</t>
  </si>
  <si>
    <t>ВЛА-220М</t>
  </si>
  <si>
    <t>ВЛА-225М</t>
  </si>
  <si>
    <t>ВЛА-225М
+ионизатор</t>
  </si>
  <si>
    <t>135 г</t>
  </si>
  <si>
    <t>102 г / 220 г</t>
  </si>
  <si>
    <t>Сканер штрих кодов</t>
  </si>
  <si>
    <t>Анализатор влажности АВГ
(сертифицирован по ТУ, класс точности не предусмотрен), регистрационный номер № 69174-17</t>
  </si>
  <si>
    <t>Микроаналитические весы ВЛА-М
(ГОСТ OIML R76-1-2011), регистрационный номер № 73040-18</t>
  </si>
  <si>
    <t>Аналитические весы ВЛА-С, ВЛА-С-О ("С-О" имеют дополнительный USB-интерфейс типа А, под "флешку")
(ГОСТ OIML R76-1-2011), регистрационный номер № 73040-18</t>
  </si>
  <si>
    <t>Микроаналитические весы ВЛ-М
(ГОСТ OIML R76-1-2011), регистрационный номер № 71442-18</t>
  </si>
  <si>
    <t>Аналитические весы ВЛ, ВЛ-В, ВЛ-В-С, ВЛ-С
(ГОСТ OIML R76-1-2011), регистрационный номер № 71442-18</t>
  </si>
  <si>
    <t>Фасовочные влагозащищенные весы MSW (класс защиты IP-67)
(ГОСТ OIML R76-1-2011)</t>
  </si>
  <si>
    <t>MSW-3</t>
  </si>
  <si>
    <t>MSW-6</t>
  </si>
  <si>
    <t>MSW-15</t>
  </si>
  <si>
    <t>MSW-30</t>
  </si>
  <si>
    <t>260×200 мм</t>
  </si>
  <si>
    <t>DATECS EP-50 - микропринтер</t>
  </si>
  <si>
    <t>PM1E-100 4050</t>
  </si>
  <si>
    <t>PM1E-100 4560</t>
  </si>
  <si>
    <t>PM1E-150 4050</t>
  </si>
  <si>
    <t>PM1E-150 4560</t>
  </si>
  <si>
    <t>PM1E-150 5060</t>
  </si>
  <si>
    <t>PM1E-300 4560</t>
  </si>
  <si>
    <t>PM1E-300 5060</t>
  </si>
  <si>
    <t>PM1E-300 6080</t>
  </si>
  <si>
    <t>PM1E-500 6080</t>
  </si>
  <si>
    <t>PM1B-100 4050</t>
  </si>
  <si>
    <t>PM1B-100 4560</t>
  </si>
  <si>
    <t>PM1B-150 4050</t>
  </si>
  <si>
    <t>PM1B-150 4560</t>
  </si>
  <si>
    <t>PM1B-300 4560</t>
  </si>
  <si>
    <t>PM1B-300 5060</t>
  </si>
  <si>
    <t>PM1B-300 6080</t>
  </si>
  <si>
    <t>PM1B-500 6080</t>
  </si>
  <si>
    <t>PM1B-150 5060</t>
  </si>
  <si>
    <t>PM1H-100 4050</t>
  </si>
  <si>
    <t>PM1H-150 4050</t>
  </si>
  <si>
    <t>PM1H-300 5060</t>
  </si>
  <si>
    <t>PM1H-300 6080</t>
  </si>
  <si>
    <t>PM1H-500 6080</t>
  </si>
  <si>
    <t>PM1H-150 4560</t>
  </si>
  <si>
    <t>GX-203A</t>
  </si>
  <si>
    <t>GX-303A</t>
  </si>
  <si>
    <t>GX-403A</t>
  </si>
  <si>
    <t>GX-603A</t>
  </si>
  <si>
    <t>GX-1003A</t>
  </si>
  <si>
    <t>GX-1603A</t>
  </si>
  <si>
    <t>GX-2002A</t>
  </si>
  <si>
    <t>GX-3002A</t>
  </si>
  <si>
    <t>GX-4002A</t>
  </si>
  <si>
    <t>GX-6002A</t>
  </si>
  <si>
    <t>GX-10002A</t>
  </si>
  <si>
    <t>GX-6001A</t>
  </si>
  <si>
    <t>GX-10001A</t>
  </si>
  <si>
    <t>1620 г</t>
  </si>
  <si>
    <t>GF-123A</t>
  </si>
  <si>
    <t>GF-203A</t>
  </si>
  <si>
    <t>GF-303A</t>
  </si>
  <si>
    <t>GF-403A</t>
  </si>
  <si>
    <t>GF-603A</t>
  </si>
  <si>
    <t>GF-1003A</t>
  </si>
  <si>
    <t>GF-1603A</t>
  </si>
  <si>
    <t>GF-1202A</t>
  </si>
  <si>
    <t>GF-2002A</t>
  </si>
  <si>
    <t>GF-3002A</t>
  </si>
  <si>
    <t>GF-4002A</t>
  </si>
  <si>
    <t>GF-6002A</t>
  </si>
  <si>
    <t>GF-10002A</t>
  </si>
  <si>
    <t>GF-6001A</t>
  </si>
  <si>
    <t>GF-10001A</t>
  </si>
  <si>
    <t>Лабораторные весы GX-A (APOLLO)
(ГОСТ OIML R76-1-2011), регистрационный номер № 74724-19</t>
  </si>
  <si>
    <t>Лабораторные весы GF-A (APOLLO)
(ГОСТ OIML R76-1-2011), регистрационный номер № 74724-19</t>
  </si>
  <si>
    <r>
      <t>Лабораторные весы GX (</t>
    </r>
    <r>
      <rPr>
        <b/>
        <sz val="14"/>
        <color rgb="FFFFFF00"/>
        <rFont val="Book Antiqua"/>
        <family val="1"/>
        <charset val="204"/>
      </rPr>
      <t>Серия снимается с производства. С января 2020 года поставки прекращаются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50691-12</t>
    </r>
  </si>
  <si>
    <r>
      <t xml:space="preserve">Микроаналитические весы PX (Pioneer </t>
    </r>
    <r>
      <rPr>
        <b/>
        <sz val="14"/>
        <color rgb="FFFFFF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73104-18</t>
    </r>
  </si>
  <si>
    <r>
      <t xml:space="preserve">Аналитические весы PX (Pioneer </t>
    </r>
    <r>
      <rPr>
        <b/>
        <sz val="14"/>
        <color rgb="FFFFFF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73104-18</t>
    </r>
  </si>
  <si>
    <r>
      <t xml:space="preserve">Лабораторные весы PX (Pioneer </t>
    </r>
    <r>
      <rPr>
        <b/>
        <sz val="14"/>
        <color rgb="FFFFFF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73104-18</t>
    </r>
  </si>
  <si>
    <r>
      <t xml:space="preserve">Платформенные весы HV-WP / HW-WP (100% пылевлагозащита)
(ГОСТ OIML R76-1-2011)
</t>
    </r>
    <r>
      <rPr>
        <b/>
        <sz val="14"/>
        <color rgb="FFFFFF00"/>
        <rFont val="Book Antiqua"/>
        <family val="1"/>
        <charset val="204"/>
      </rPr>
      <t>Серия снята с производства. Распродаются остатки.</t>
    </r>
  </si>
  <si>
    <r>
      <t xml:space="preserve">Платформенные весы HW (дисплеи: жидкокристаллический - "L" и вакуумфлюоресцентный - "V")
(ГОСТ OIML R76-1-2011)
</t>
    </r>
    <r>
      <rPr>
        <b/>
        <sz val="14"/>
        <color rgb="FFFFFF00"/>
        <rFont val="Book Antiqua"/>
        <family val="1"/>
        <charset val="204"/>
      </rPr>
      <t>Серия снята с производства.</t>
    </r>
  </si>
  <si>
    <r>
      <t xml:space="preserve">Платформенные весы HV (дисплеи: жидкокристаллический - "L" и вакуумфлюоресцентный - "V")
(ГОСТ OIML R76-1-2011)
</t>
    </r>
    <r>
      <rPr>
        <b/>
        <sz val="14"/>
        <color rgb="FFFFFF00"/>
        <rFont val="Book Antiqua"/>
        <family val="1"/>
        <charset val="204"/>
      </rPr>
      <t>Серия снята с производства.</t>
    </r>
  </si>
  <si>
    <t>Анализаторы влажности
(сертифицированы по ТУ, не имеют класса точности), регистрационный номер № 40496-09</t>
  </si>
  <si>
    <t>Микровесы BM-G, микроаналитические весы BM-G, аналитические весы BM-G
(ГОСТ OIML R76-1-2011), регистрационный номер № 57513-14</t>
  </si>
  <si>
    <r>
      <t>Настольные весы NP (общего назначения)
(ГОСТ OIML R76-1-2011)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+700 руб. с НДС!)</t>
    </r>
  </si>
  <si>
    <r>
      <t>Настольные весы SK-WP (полностью пылевлагозащищенные весы из нержавеющей стали)
(ГОСТ OIML R76-1-2011)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+700 руб. с НДС!)</t>
    </r>
  </si>
  <si>
    <t>Микроаналитические и аналитические весы GR
(ГОСТ OIML R76-1-2011), регистрационный номер № 57514-14</t>
  </si>
  <si>
    <t>Микроаналитические и аналитические весы GH
(ГОСТ OIML R76-1-2011), регистрационный номер № 58669-14</t>
  </si>
  <si>
    <r>
      <t>Настольные весы HL-WP (полностью пылевлагозащищенные весы из нержавеющей стали)
(сертифицированы по ТУ, не имеют класса точности)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+700 руб. с НДС!)</t>
    </r>
  </si>
  <si>
    <t>Компараторы массы
(сертифицированы по ТУ, не имеют класса точности), регистрационный номер № 72386-18</t>
  </si>
  <si>
    <t>Лабораторные весы DL
(ГОСТ OIML R76-1-2011), регистрационный номер № 73454-18</t>
  </si>
  <si>
    <t>Лабораторные весы DL-WP (100% пылевлагозащита)
(ГОСТ OIML R76-1-2011), регистрационный номер № 73454-18</t>
  </si>
  <si>
    <t>Лабораторные весы DX
(ГОСТ OIML R76-1-2011), регистрационный номер № 69497-17</t>
  </si>
  <si>
    <t>Лабораторные весы DX-WP (100% пылевлагозащита)
(ГОСТ OIML R76-1-2011), регистрационный номер № 69497-17</t>
  </si>
  <si>
    <t>Лабораторно-промышленные весы GP (весы на большие нагрузки с повышенной точностью)
(ГОСТ OIML R76-1-2011), регистрационный номер № 50583-12</t>
  </si>
  <si>
    <t>18.07.2019
:
:</t>
  </si>
  <si>
    <t>Аналитические весы AX (Adventurer)
(ГОСТ OIML R76-1-2011), регистрационный номер № 57928-14</t>
  </si>
  <si>
    <t>Лабораторные весы AX (Adventurer)
(ГОСТ OIML R76-1-2011), регистрационный номер № 57928-14</t>
  </si>
  <si>
    <t>Анализаторы влажности MB
(сертифицированы по ТУ), регистрационный номер № 64988-16</t>
  </si>
  <si>
    <t>Лабораторные весы STX (Scout STX)  / Особенность - сенсорный цветной дисплей
(ГОСТ OIML R76-1-2011), регистрационный номер № 64467-16</t>
  </si>
  <si>
    <t>Лабораторные весы SPX (Scout SPX)
(ГОСТ OIML R76-1-2011), регистрационный номер № 64467-16</t>
  </si>
  <si>
    <t>Лабораторные весы SJX (Scout SJX) / Наличие моделей с внутренней калибровкой
(ГОСТ OIML R76-1-2011), регистрационный номер № 64467-16</t>
  </si>
  <si>
    <t>Лабораторные весы ВЛТЭ-С
(ГОСТ OIML R76-1-2011), регистрационный номер № 69452-17</t>
  </si>
  <si>
    <t>ВЛТЭ-150</t>
  </si>
  <si>
    <t>ВЛТЭ-210</t>
  </si>
  <si>
    <t>ВЛТЭ-310</t>
  </si>
  <si>
    <t>ВЛТЭ-410</t>
  </si>
  <si>
    <t>ВЛТЭ-210/510</t>
  </si>
  <si>
    <t>ВЛТЭ-4100</t>
  </si>
  <si>
    <t>ВЛТЭ-8100</t>
  </si>
  <si>
    <t>ВЛТЭ-1100С</t>
  </si>
  <si>
    <t>ВЛТЭ-2100С</t>
  </si>
  <si>
    <t>ВЛТЭ-3100С</t>
  </si>
  <si>
    <t>ВЛТЭ-4100С</t>
  </si>
  <si>
    <t>ВЛТЭ-2100/5100С</t>
  </si>
  <si>
    <t>ВЛТЭ-5100С</t>
  </si>
  <si>
    <t>ВЛТЭ-6100С</t>
  </si>
  <si>
    <t>ВЛТЭ-4100Т</t>
  </si>
  <si>
    <t>ВЛТЭ-8100T</t>
  </si>
  <si>
    <t>Лабораторные весы ВЛЭ-С
(ГОСТ OIML R76-1-2011), регистрационный номер № 58760-14</t>
  </si>
  <si>
    <t>Платформенные весы ВПВ и ВПВ-С
(ГОСТ OIML R76-1-2011), регистрационный номер № 64217-16</t>
  </si>
  <si>
    <t>Платформенные весы ВПТ
(ГОСТ OIML R76-1-2011), регистрационный номер № 64217-16</t>
  </si>
  <si>
    <t>Платформенные весы ВПС
(ГОСТ OIML R76-1-2011), регистрационный номер № 64217-16</t>
  </si>
  <si>
    <r>
      <t xml:space="preserve">20 г / 50 г / </t>
    </r>
    <r>
      <rPr>
        <b/>
        <sz val="10"/>
        <color rgb="FFFF0000"/>
        <rFont val="Book Antiqua"/>
        <family val="1"/>
        <charset val="204"/>
      </rPr>
      <t>100 г *</t>
    </r>
  </si>
  <si>
    <r>
      <t xml:space="preserve">Платформенные весы EM
(ГОСТ OIML R76-1-2011). </t>
    </r>
    <r>
      <rPr>
        <b/>
        <sz val="14"/>
        <color rgb="FFFFFF00"/>
        <rFont val="Book Antiqua"/>
        <family val="1"/>
        <charset val="204"/>
      </rPr>
      <t>Весы EM-300KAX больше не поставляются.</t>
    </r>
  </si>
  <si>
    <t>Платформенные весы 4D-PM-A (стандартный ЖК-терминал / для связи с ПК - интерфейс RS-232)
(OIML R76-1-2011), регистрационный номер № 52766-13</t>
  </si>
  <si>
    <t>Дополнительный индикатор DI4D
Промышленный LED индикатор, высота цифр 76 мм</t>
  </si>
  <si>
    <t>4D-PM-12/12-1000-A</t>
  </si>
  <si>
    <t>4D-PM-12/12-2000-A</t>
  </si>
  <si>
    <t>4D-PM-12/12-3000-A</t>
  </si>
  <si>
    <t>1200×1200 мм</t>
  </si>
  <si>
    <t>1500×1500 мм</t>
  </si>
  <si>
    <t>4D-PM-15/15-1000-A</t>
  </si>
  <si>
    <t>4D-PM-15/15-2000-A</t>
  </si>
  <si>
    <t>4D-PM-15/15-3000-A</t>
  </si>
  <si>
    <t>HTDK - комплект для измерения плотности</t>
  </si>
  <si>
    <t>авава</t>
  </si>
  <si>
    <t>300×400 мм</t>
  </si>
  <si>
    <r>
      <t xml:space="preserve">Аналитические весы EX (Explorer)
</t>
    </r>
    <r>
      <rPr>
        <b/>
        <sz val="14"/>
        <color rgb="FFFFFF00"/>
        <rFont val="Book Antiqua"/>
        <family val="1"/>
        <charset val="204"/>
      </rPr>
      <t>Модели с "/AD" - имеют автоматические дверцы ветрозащиты. Модели без "/AD" ввозятся только под заказ - до 10-14 недель</t>
    </r>
    <r>
      <rPr>
        <b/>
        <sz val="14"/>
        <color theme="0"/>
        <rFont val="Book Antiqua"/>
        <family val="1"/>
        <charset val="204"/>
      </rPr>
      <t xml:space="preserve">
(ГОСТ OIML R76-1-2011), регистрационный номер № 68363-17</t>
    </r>
  </si>
  <si>
    <r>
      <t>57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81×43 см</t>
    </r>
  </si>
  <si>
    <t>26×30×14 см</t>
  </si>
  <si>
    <t>26×30×9 см</t>
  </si>
  <si>
    <t>38×45×49 см</t>
  </si>
  <si>
    <t>28×33×15 см</t>
  </si>
  <si>
    <t>40×52×63 см</t>
  </si>
  <si>
    <t>34×50×53 см</t>
  </si>
  <si>
    <t>36×30×14 см</t>
  </si>
  <si>
    <t>31×34×13 см</t>
  </si>
  <si>
    <t>29×37×15 см</t>
  </si>
  <si>
    <t>39×54×46 см</t>
  </si>
  <si>
    <t>36×50×38 см</t>
  </si>
  <si>
    <t>37×58×26 см</t>
  </si>
  <si>
    <r>
      <rPr>
        <sz val="10"/>
        <color theme="1"/>
        <rFont val="Arial"/>
        <family val="2"/>
        <charset val="204"/>
      </rPr>
      <t>32×</t>
    </r>
    <r>
      <rPr>
        <sz val="10"/>
        <color theme="1"/>
        <rFont val="Book Antiqua"/>
        <family val="1"/>
        <charset val="204"/>
      </rPr>
      <t>44×27 см</t>
    </r>
  </si>
  <si>
    <t>32×40×20 см</t>
  </si>
  <si>
    <t>32×43×19 см</t>
  </si>
  <si>
    <t>40×50×21 см</t>
  </si>
  <si>
    <t>40×56×37 см</t>
  </si>
  <si>
    <t>7 кг</t>
  </si>
  <si>
    <t>36 кг</t>
  </si>
  <si>
    <t>NV-222</t>
  </si>
  <si>
    <t>NV-422</t>
  </si>
  <si>
    <t>NV-622</t>
  </si>
  <si>
    <t>NV-221</t>
  </si>
  <si>
    <t>NV-621</t>
  </si>
  <si>
    <t>NV-1001</t>
  </si>
  <si>
    <t>NV-2201</t>
  </si>
  <si>
    <t>NVT-2201</t>
  </si>
  <si>
    <t>NVT-4201</t>
  </si>
  <si>
    <t>NVT-6201</t>
  </si>
  <si>
    <t>NVT-2200</t>
  </si>
  <si>
    <t>NVT-6200</t>
  </si>
  <si>
    <t>NVT-10000</t>
  </si>
  <si>
    <t>NVT-22000</t>
  </si>
  <si>
    <t>10000 г</t>
  </si>
  <si>
    <t>Ø 145 мм</t>
  </si>
  <si>
    <t>190×144 мм</t>
  </si>
  <si>
    <r>
      <t xml:space="preserve">Лабораторные весы NV (NVT) (Navigator </t>
    </r>
    <r>
      <rPr>
        <b/>
        <sz val="14"/>
        <color rgb="FFFFFF00"/>
        <rFont val="Book Antiqua"/>
        <family val="1"/>
        <charset val="204"/>
      </rPr>
      <t>new</t>
    </r>
    <r>
      <rPr>
        <b/>
        <sz val="14"/>
        <color theme="0"/>
        <rFont val="Book Antiqua"/>
        <family val="1"/>
        <charset val="204"/>
      </rPr>
      <t>)
(сертифицированы по ТУ), регистрационный номер № 76022-19</t>
    </r>
  </si>
  <si>
    <r>
      <t xml:space="preserve">Настольные весы CX (Compass)
</t>
    </r>
    <r>
      <rPr>
        <b/>
        <sz val="14"/>
        <color rgb="FFFFFF00"/>
        <rFont val="Book Antiqua"/>
        <family val="1"/>
        <charset val="204"/>
      </rPr>
      <t>(не сертифицированы, поставляются без поверки)</t>
    </r>
  </si>
  <si>
    <t>CX-221</t>
  </si>
  <si>
    <t>CX-621</t>
  </si>
  <si>
    <t>CX-1201</t>
  </si>
  <si>
    <t>CX-2200</t>
  </si>
  <si>
    <t>CX-5200</t>
  </si>
  <si>
    <t>128×142 мм</t>
  </si>
  <si>
    <t>0,7 кг</t>
  </si>
  <si>
    <r>
      <t xml:space="preserve">Настольные весы CR (Compass)
</t>
    </r>
    <r>
      <rPr>
        <b/>
        <sz val="14"/>
        <color rgb="FFFFFF00"/>
        <rFont val="Book Antiqua"/>
        <family val="1"/>
        <charset val="204"/>
      </rPr>
      <t>(не сертифицированы, поставляются без поверки)</t>
    </r>
  </si>
  <si>
    <t>CR-221</t>
  </si>
  <si>
    <t>CR-621</t>
  </si>
  <si>
    <t>CR-2200</t>
  </si>
  <si>
    <t>CR-5200</t>
  </si>
  <si>
    <t>125×132 мм</t>
  </si>
  <si>
    <t>0,6 кг</t>
  </si>
  <si>
    <t>40×55×30 см</t>
  </si>
  <si>
    <t>37×40×8 см</t>
  </si>
  <si>
    <t>24×33×14 см</t>
  </si>
  <si>
    <r>
      <t>25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30×10 см</t>
    </r>
  </si>
  <si>
    <r>
      <t>32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40×36 см</t>
    </r>
  </si>
  <si>
    <t>18 кг</t>
  </si>
  <si>
    <t>MSC-5 RS</t>
  </si>
  <si>
    <t>MSC-10 RS</t>
  </si>
  <si>
    <t>MSC-25 RS</t>
  </si>
  <si>
    <t>Принтер EP-100 (без дисплея)</t>
  </si>
  <si>
    <t>Принтер EP-110 (с дисплеем)</t>
  </si>
  <si>
    <t>Адаптер USB</t>
  </si>
  <si>
    <t>36×30×14 см
16×16×9 см</t>
  </si>
  <si>
    <r>
      <t>Лабораторные весы ВЛТЭ</t>
    </r>
    <r>
      <rPr>
        <b/>
        <sz val="14"/>
        <color theme="0"/>
        <rFont val="Book Antiqua"/>
        <family val="1"/>
        <charset val="204"/>
      </rPr>
      <t xml:space="preserve">
(ГОСТ OIML R76-1-2011), регистрационный номер № 69452-17</t>
    </r>
  </si>
  <si>
    <t>Адаптер RS-232 (только для ВЛ-В, ВЛ-В-С, ВЛ)</t>
  </si>
  <si>
    <t>Поддонный крюк</t>
  </si>
  <si>
    <t>ВЛТЭ-150П-В</t>
  </si>
  <si>
    <t>ВЛТЭ-210П-В</t>
  </si>
  <si>
    <t>ВЛТЭ-310П-В</t>
  </si>
  <si>
    <t>ВЛТЭ-410П-В</t>
  </si>
  <si>
    <t>ВЛТЭ-510П-В</t>
  </si>
  <si>
    <t>Повышенная защита от пыли и влаги</t>
  </si>
  <si>
    <t>Внешняя аккумуляторная батарея автономного питания (для ВПВ)</t>
  </si>
  <si>
    <t>Внешняя аккумуляторная батарея автономного питания (для ВПВ-С)</t>
  </si>
  <si>
    <t>Внешняя аккумуляторная батарея автономного питания (до 510С включительно)</t>
  </si>
  <si>
    <t>Внешняя аккумуляторная батарея автономного питания (от 1100С и выше)</t>
  </si>
  <si>
    <t>42×68×60 см</t>
  </si>
  <si>
    <t>39×56×52 см</t>
  </si>
  <si>
    <t>32×40×22</t>
  </si>
  <si>
    <t>32×40×22 см</t>
  </si>
  <si>
    <t>44×53×24 см</t>
  </si>
  <si>
    <r>
      <t xml:space="preserve">Лабораторные весы ВЛТЭ-Т
(ГОСТ OIML R76-1-2011), регистрационный номер № 69452-17
</t>
    </r>
    <r>
      <rPr>
        <b/>
        <sz val="14"/>
        <color rgb="FFFFFF00"/>
        <rFont val="Book Antiqua"/>
        <family val="1"/>
        <charset val="204"/>
      </rPr>
      <t>Модели ВЛТЭ-Т(В) снимают с производства с 01.04.2020</t>
    </r>
  </si>
  <si>
    <t>MSC-5D RS</t>
  </si>
  <si>
    <t>MSC-10D RS</t>
  </si>
  <si>
    <t>MSC-25D RS</t>
  </si>
  <si>
    <r>
      <t>40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45×15 см</t>
    </r>
  </si>
  <si>
    <r>
      <t>46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69×61 см</t>
    </r>
  </si>
  <si>
    <r>
      <t>27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31×20 см</t>
    </r>
  </si>
  <si>
    <t>41×58×13 см</t>
  </si>
  <si>
    <t>36×40×25 см</t>
  </si>
  <si>
    <t>42×52×54 см</t>
  </si>
  <si>
    <r>
      <t>46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65×18 см</t>
    </r>
  </si>
  <si>
    <t>поверка</t>
  </si>
  <si>
    <t>Аналитические весы HR-AG, HR-AZG
(ГОСТ OIML R76-1-2011), регистрационный номер № 74163-19</t>
  </si>
  <si>
    <t>41×57×13 см</t>
  </si>
  <si>
    <r>
      <t>23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25×9 см</t>
    </r>
  </si>
  <si>
    <t>32×40×32 см</t>
  </si>
  <si>
    <t>39×51×53 см</t>
  </si>
  <si>
    <t>8 кг</t>
  </si>
  <si>
    <r>
      <t>34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58×49 см</t>
    </r>
  </si>
  <si>
    <t>40×50×54 см</t>
  </si>
  <si>
    <r>
      <rPr>
        <sz val="10"/>
        <color theme="1"/>
        <rFont val="Arial"/>
        <family val="2"/>
        <charset val="204"/>
      </rPr>
      <t>30×</t>
    </r>
    <r>
      <rPr>
        <sz val="10"/>
        <color theme="1"/>
        <rFont val="Book Antiqua"/>
        <family val="1"/>
        <charset val="204"/>
      </rPr>
      <t>38×25 см</t>
    </r>
  </si>
  <si>
    <t>40×45×17 см</t>
  </si>
  <si>
    <t>17×24×6 см</t>
  </si>
  <si>
    <t>30×36×21 см</t>
  </si>
  <si>
    <t>9 кг</t>
  </si>
  <si>
    <t>41×78×13 см</t>
  </si>
  <si>
    <t>27×34×22 см</t>
  </si>
  <si>
    <t>44×53×28 см</t>
  </si>
  <si>
    <t>23×43×23 см</t>
  </si>
  <si>
    <t>46×50×23 см</t>
  </si>
  <si>
    <t>40×49×53 см</t>
  </si>
  <si>
    <t>вывыв</t>
  </si>
  <si>
    <t>40×56×30 см</t>
  </si>
  <si>
    <t>Аналитические весы PR
(ГОСТ OIML R76-1-2011), регистрационный номер № 73104-18</t>
  </si>
  <si>
    <t>PR-124/E</t>
  </si>
  <si>
    <t>PR-124</t>
  </si>
  <si>
    <t>PR-224/E</t>
  </si>
  <si>
    <t>PR-224</t>
  </si>
  <si>
    <t>Лабораторные весы PR
(ГОСТ OIML R76-1-2011), регистрационный номер № 73104-18</t>
  </si>
  <si>
    <t>PR-223/E</t>
  </si>
  <si>
    <t>PR-223</t>
  </si>
  <si>
    <t>PR-423/E</t>
  </si>
  <si>
    <t>PR-423</t>
  </si>
  <si>
    <t>PR-523/E</t>
  </si>
  <si>
    <t>PR-523</t>
  </si>
  <si>
    <t>PR-1602</t>
  </si>
  <si>
    <t>PR-2202/E</t>
  </si>
  <si>
    <t>PR-2202</t>
  </si>
  <si>
    <t>PR-4202</t>
  </si>
  <si>
    <t>PR-4201</t>
  </si>
  <si>
    <t>PR-6201/E</t>
  </si>
  <si>
    <t>PR-4201/E</t>
  </si>
  <si>
    <t>PR-4202/E</t>
  </si>
  <si>
    <t>PR-1602/E</t>
  </si>
  <si>
    <t>PR-6201</t>
  </si>
  <si>
    <t>51×39×53 см</t>
  </si>
  <si>
    <t>55×39×29 см</t>
  </si>
  <si>
    <t>ТВ-S-15.2-A013</t>
  </si>
  <si>
    <t>ТВ-S-32.2-A013</t>
  </si>
  <si>
    <t>ТВ-S-60.2-A013</t>
  </si>
  <si>
    <t>ТВ-S-200.2-A013</t>
  </si>
  <si>
    <t>ТВ-М-60.2-А013</t>
  </si>
  <si>
    <t>ТВ-М-150.2-А013</t>
  </si>
  <si>
    <t>ТВ-М-300.2-А013</t>
  </si>
  <si>
    <t>ТВ-М-600.2-А013</t>
  </si>
  <si>
    <r>
      <t>Лабораторные весы GF (</t>
    </r>
    <r>
      <rPr>
        <b/>
        <sz val="14"/>
        <color rgb="FFFFFF00"/>
        <rFont val="Book Antiqua"/>
        <family val="1"/>
        <charset val="204"/>
      </rPr>
      <t>Серия снимается с производства. С января 2020 года поставки прекращаются.</t>
    </r>
    <r>
      <rPr>
        <b/>
        <sz val="14"/>
        <color theme="0"/>
        <rFont val="Book Antiqua"/>
        <family val="1"/>
        <charset val="204"/>
      </rPr>
      <t>)
(ГОСТ OIML R76-1-2011), регистрационный номер № 50689-12</t>
    </r>
  </si>
  <si>
    <r>
      <t xml:space="preserve">Лабораторные весы SJ </t>
    </r>
    <r>
      <rPr>
        <b/>
        <sz val="14"/>
        <color rgb="FFFFFF00"/>
        <rFont val="Book Antiqua"/>
        <family val="1"/>
        <charset val="204"/>
      </rPr>
      <t>(Серия снимается с производства. Распродаются остатки.)</t>
    </r>
    <r>
      <rPr>
        <b/>
        <sz val="14"/>
        <color theme="0"/>
        <rFont val="Book Antiqua"/>
        <family val="1"/>
        <charset val="204"/>
      </rPr>
      <t xml:space="preserve">
(ГОСТ OIML R76-1-2011)</t>
    </r>
  </si>
  <si>
    <t>1,5 кг</t>
  </si>
  <si>
    <t>2,3 кг</t>
  </si>
  <si>
    <t>39×34×17 см</t>
  </si>
  <si>
    <t>30×25×14 см</t>
  </si>
  <si>
    <t>Лабораторные весы HCB
(ГОСТ OIML R76-1-2011), регистрационный номер № 60181-15</t>
  </si>
  <si>
    <r>
      <t>30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37×47 см</t>
    </r>
  </si>
  <si>
    <t>35×50×43 см</t>
  </si>
  <si>
    <t>395×520 мм</t>
  </si>
  <si>
    <t>Напольные весы ТВ-S-А (А1 - без стойки, А2 - складная стойка, А3 - стационарная стойка)
(OIML R 76-1-2011), регистрационный номер № 48166-13</t>
  </si>
  <si>
    <t>40×51×63 см</t>
  </si>
  <si>
    <t>4D-PM-10/10-500-А</t>
  </si>
  <si>
    <t>4D-PM-10/10-1000-А</t>
  </si>
  <si>
    <t>4D-PM-12/10-500-А</t>
  </si>
  <si>
    <t>4D-PM-12/10-1000-А</t>
  </si>
  <si>
    <t>4D-PM-12/10-1500-А</t>
  </si>
  <si>
    <t>4D-PM-15/12-1000-А</t>
  </si>
  <si>
    <t>4D-PM-15/12-2000-А</t>
  </si>
  <si>
    <t>4D-PM-15/12-3000-А</t>
  </si>
  <si>
    <t>4D-PM-20/15-1000-А</t>
  </si>
  <si>
    <t>4D-PM-20/15-2000-А</t>
  </si>
  <si>
    <t>4D-PM-20/15-3000-А</t>
  </si>
  <si>
    <t>4D-LM-10/10-1000</t>
  </si>
  <si>
    <t>4D-LM-10/10-2000</t>
  </si>
  <si>
    <t>63×47×64 см</t>
  </si>
  <si>
    <t>12.6 кг</t>
  </si>
  <si>
    <t>е</t>
  </si>
  <si>
    <t>HCB-123</t>
  </si>
  <si>
    <t>HCB-153</t>
  </si>
  <si>
    <t>HCB-302</t>
  </si>
  <si>
    <t>HCB-602H</t>
  </si>
  <si>
    <t>HCB-602</t>
  </si>
  <si>
    <t>HCB-1002</t>
  </si>
  <si>
    <t>HCB-1502</t>
  </si>
  <si>
    <t>HCB-3001</t>
  </si>
  <si>
    <t>PMB-53</t>
  </si>
  <si>
    <t>PMB-163</t>
  </si>
  <si>
    <t>PMB-202</t>
  </si>
  <si>
    <t>0.01 г / 0.05 %</t>
  </si>
  <si>
    <t>Ø 100 мм</t>
  </si>
  <si>
    <t>0.005 г / 0.01 %</t>
  </si>
  <si>
    <t>Лабораторные весы ВМ
(сертифицированы по ТУ 4274-003-58887924-2007), регистрационный номер № 36468-07</t>
  </si>
  <si>
    <t>АВ-60М-01А</t>
  </si>
  <si>
    <t>АВ-60М-01</t>
  </si>
  <si>
    <t>АВ-60М-01С</t>
  </si>
  <si>
    <t>АВ-120М-01А</t>
  </si>
  <si>
    <t>АВ-120М-01</t>
  </si>
  <si>
    <t>АВ-120М-01С</t>
  </si>
  <si>
    <t>АВ-210М-01А</t>
  </si>
  <si>
    <t>АВ-210М-01</t>
  </si>
  <si>
    <t>АВ-210М-01С</t>
  </si>
  <si>
    <t>АВ-310М-01А</t>
  </si>
  <si>
    <t>АВ-310М-01</t>
  </si>
  <si>
    <t>АВ-310М-01С</t>
  </si>
  <si>
    <t>Лабораторные весы АВ ("С" - исполнение с повышенной защитой от коррозии, "М" - автоматическая калибровка встроенной гирей при изменении температуры и по времени)
(ГОСТ OIML R76-1-2011), регистрационный номер № 54970-13</t>
  </si>
  <si>
    <t>АВ-600М-1</t>
  </si>
  <si>
    <t>АВ-600М-1С</t>
  </si>
  <si>
    <t>АВ-1200М-1</t>
  </si>
  <si>
    <t>АВ-1200М-1С</t>
  </si>
  <si>
    <t>EJ-1202</t>
  </si>
  <si>
    <t>EJ-3002</t>
  </si>
  <si>
    <t>Лабораторные весы EJ
(ГОСТ OIML R76-1-2011), регистрационный номер № 78262-20
С 06.05.2020 модели EJ-410 и EJ-4100 сняты с производства, в остатках нет.</t>
  </si>
  <si>
    <t>Лабораторные весы CY
(ГОСТ OIML R76-1-2011), регистрационный номер № 57917-14</t>
  </si>
  <si>
    <t>AC002 - Комплект для определения плотности твердых тел и жидкостей DENSITY KIT</t>
  </si>
  <si>
    <t>Принтер с функцией статистики TX-110 (кабель для подключения к весам в комплекте)</t>
  </si>
  <si>
    <t>Комплект для подключения весов к персональному компьютеру (в комплекте диск с программным обеспечением, кабель, USB-конвертер)</t>
  </si>
  <si>
    <t>Задняя панель ветрозашиты со встроенным ионизатором (устанавливается вместо заднего стекла ветрозащиты)</t>
  </si>
  <si>
    <t>Внешняя буквенно-цифровая клавиатура KEYMODULE</t>
  </si>
  <si>
    <t>AC002 - Комплект для определения плотности твердых тел и жидкостей DENSITY KIT (для 0.001 г)</t>
  </si>
  <si>
    <t>AC004 - Комплект для определения плотности твердых тел и жидкостей DENSITY KIT (для 0.01 г)</t>
  </si>
  <si>
    <t>Задняя панель ветрозашиты со встроенным ионизатором (устанавливается вместо заднего стекла ветрозащиты) (только для DA-2103C)</t>
  </si>
  <si>
    <t>Фасовочные весы MSC
(ГОСТ OIML R76-1-2011), регистрационный номер № 66971-17</t>
  </si>
  <si>
    <t>SWN-3 БЕЗ АКБ</t>
  </si>
  <si>
    <t>SWN-6 БЕЗ АКБ</t>
  </si>
  <si>
    <t>SWN-15 БЕЗ АКБ</t>
  </si>
  <si>
    <t>SWN-30 БЕЗ АКБ</t>
  </si>
  <si>
    <t>SWN-6 (DD) БЕЗ АКБ</t>
  </si>
  <si>
    <t>SWN-15 (DD) БЕЗ АКБ</t>
  </si>
  <si>
    <t>Порт RS232</t>
  </si>
  <si>
    <t>Настольные весы SWN
Модификация "БЕЗ АКБ" - весы без аккумулятора, работа только от сети
Модификация "(DD)" - весы с дополнительным дисплеем на обратной стороне
Модификация "USB" - весы с USB интерфейсом
(ГОСТ OIML R 76-1-2011), регистрационный номер № 65054-16</t>
  </si>
  <si>
    <t>Настольные весы PDC
(ГОСТ OIML R76-1-2011), регистрационный номер № 73191-18</t>
  </si>
  <si>
    <t>PDC-6</t>
  </si>
  <si>
    <t>PDC-15</t>
  </si>
  <si>
    <t>PDC-30</t>
  </si>
  <si>
    <t>370×270 мм</t>
  </si>
  <si>
    <t>4D-PNРМ-2 - пандус к модулям 4D-PМ-12/10</t>
  </si>
  <si>
    <t>4D-PNРМ-3 - пандус к модулям 4D-PМ-15/12</t>
  </si>
  <si>
    <t>4D-PNРМ-7 - пандус к модулям 4D-PМ-20/15</t>
  </si>
  <si>
    <t>RM4D-PМ-2 - рама для приямка к модулям 4D-PМ-12/10</t>
  </si>
  <si>
    <t>RM4D-PМ-3 - рама для приямка к модулям 4D-PМ-15/12</t>
  </si>
  <si>
    <t>RM4D-PМ-7 - рама для приямка к модулям 4D-PМ-20/15</t>
  </si>
  <si>
    <t>4D-LA-10/10-1000</t>
  </si>
  <si>
    <t>4D-LA-10/10-1500</t>
  </si>
  <si>
    <t>4D-LA-15/12-1000</t>
  </si>
  <si>
    <t>4D-LA-15/12-2000</t>
  </si>
  <si>
    <t>4D-LA.S-10/10-1000</t>
  </si>
  <si>
    <t>4D-LA.S-10/10-1500</t>
  </si>
  <si>
    <t>4D-LA.S-15/12-1000</t>
  </si>
  <si>
    <t>4D-LA.S-15/12-2000</t>
  </si>
  <si>
    <t>4D-B-12/1-1000</t>
  </si>
  <si>
    <t>4D-B-12/1-2000</t>
  </si>
  <si>
    <t>Стержневые весы 4D-B-12/1</t>
  </si>
  <si>
    <r>
      <t>Настольные весы HT
(сертифицированы по ТУ, не имеют класса точности), , регистрационный номер № 75037-19
(</t>
    </r>
    <r>
      <rPr>
        <b/>
        <sz val="14"/>
        <color indexed="10"/>
        <rFont val="Book Antiqua"/>
        <family val="1"/>
        <charset val="204"/>
      </rPr>
      <t>Внимание!</t>
    </r>
    <r>
      <rPr>
        <b/>
        <sz val="14"/>
        <color indexed="9"/>
        <rFont val="Book Antiqua"/>
        <family val="1"/>
        <charset val="204"/>
      </rPr>
      <t xml:space="preserve"> Блок питания к весам - опция, при необходимости заказывается отдельно +700 руб. с НДС!)</t>
    </r>
  </si>
  <si>
    <t>MPA-10</t>
  </si>
  <si>
    <t>MPA-20</t>
  </si>
  <si>
    <t>MPA-200</t>
  </si>
  <si>
    <t>MPA-1200</t>
  </si>
  <si>
    <t>MPA-10000</t>
  </si>
  <si>
    <t>Дозируемый диапазон</t>
  </si>
  <si>
    <t>Точность дозирования</t>
  </si>
  <si>
    <t>Повторяемость (СКО)</t>
  </si>
  <si>
    <t>0.5-10 мкл</t>
  </si>
  <si>
    <t>2-20 мкл</t>
  </si>
  <si>
    <t>10-200 мкл</t>
  </si>
  <si>
    <t>100-1200 мкл</t>
  </si>
  <si>
    <t>0.1 мкл</t>
  </si>
  <si>
    <t>1 мкл</t>
  </si>
  <si>
    <t>10 мкл</t>
  </si>
  <si>
    <t>Объем дозы при проверке характеристик</t>
  </si>
  <si>
    <t>Дискретность установки объема</t>
  </si>
  <si>
    <t>1 мкл / 10 мкл</t>
  </si>
  <si>
    <t>10 мкл / 200 мкл</t>
  </si>
  <si>
    <t>100 мкл / 1200 мкл</t>
  </si>
  <si>
    <t>1000 мкл / 5000 мкл / 10000 мкл</t>
  </si>
  <si>
    <t>± 4 / ± 1</t>
  </si>
  <si>
    <t>± 2.5 / ± 0.6</t>
  </si>
  <si>
    <t>± 2.5 / ± 0.5</t>
  </si>
  <si>
    <t>± 2.5 / ± 1 / ± 0.5</t>
  </si>
  <si>
    <t>2.5 / 0.4</t>
  </si>
  <si>
    <t>1 / 0.15</t>
  </si>
  <si>
    <t>0.6 / 0.15</t>
  </si>
  <si>
    <t>0.6 / 0,15</t>
  </si>
  <si>
    <t>Электронные дозаторы MPA
(сертифицированы по ТУ), регистрационный номер № 72034-18</t>
  </si>
  <si>
    <t>1000-10000 мкл</t>
  </si>
  <si>
    <t>Анализаторы влажности PMB
(сертифицированы по ТУ, класс точности не предусмотрен), регистрационный номер № 79856-20</t>
  </si>
  <si>
    <t>40×50×25 см</t>
  </si>
  <si>
    <t>40×50×33 см</t>
  </si>
  <si>
    <r>
      <t>42</t>
    </r>
    <r>
      <rPr>
        <sz val="10"/>
        <color theme="1"/>
        <rFont val="Arial"/>
        <family val="2"/>
        <charset val="204"/>
      </rPr>
      <t>×</t>
    </r>
    <r>
      <rPr>
        <sz val="10"/>
        <color theme="1"/>
        <rFont val="Book Antiqua"/>
        <family val="1"/>
        <charset val="204"/>
      </rPr>
      <t>56×48 см</t>
    </r>
  </si>
  <si>
    <t>25×30×14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</si>
</sst>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10"/>
      <color indexed="8"/>
      <name val="Book Antiqua"/>
      <family val="1"/>
      <charset val="204"/>
    </font>
    <font>
      <sz val="10"/>
      <name val="Book Antiqua"/>
      <family val="1"/>
      <charset val="204"/>
    </font>
    <font>
      <b/>
      <sz val="10"/>
      <name val="Book Antiqua"/>
      <family val="1"/>
      <charset val="204"/>
    </font>
    <font>
      <b/>
      <sz val="10"/>
      <color indexed="8"/>
      <name val="Book Antiqua"/>
      <family val="1"/>
      <charset val="204"/>
    </font>
    <font>
      <b/>
      <sz val="18"/>
      <color indexed="8"/>
      <name val="Book Antiqua"/>
      <family val="1"/>
      <charset val="204"/>
    </font>
    <font>
      <b/>
      <sz val="14"/>
      <color indexed="9"/>
      <name val="Book Antiqua"/>
      <family val="1"/>
      <charset val="204"/>
    </font>
    <font>
      <b/>
      <sz val="14"/>
      <color indexed="10"/>
      <name val="Book Antiqua"/>
      <family val="1"/>
      <charset val="204"/>
    </font>
    <font>
      <b/>
      <sz val="14"/>
      <color indexed="13"/>
      <name val="Book Antiqua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b/>
      <sz val="10"/>
      <color theme="4" tint="-0.249977111117893"/>
      <name val="Book Antiqua"/>
      <family val="1"/>
      <charset val="204"/>
    </font>
    <font>
      <b/>
      <sz val="18"/>
      <color theme="1"/>
      <name val="Book Antiqua"/>
      <family val="1"/>
      <charset val="204"/>
    </font>
    <font>
      <sz val="18"/>
      <color theme="1"/>
      <name val="Book Antiqua"/>
      <family val="1"/>
      <charset val="204"/>
    </font>
    <font>
      <b/>
      <sz val="18"/>
      <color rgb="FFFF0000"/>
      <name val="Book Antiqua"/>
      <family val="1"/>
      <charset val="204"/>
    </font>
    <font>
      <b/>
      <sz val="14"/>
      <color theme="0"/>
      <name val="Book Antiqua"/>
      <family val="1"/>
      <charset val="204"/>
    </font>
    <font>
      <sz val="10"/>
      <color rgb="FFFF0000"/>
      <name val="Book Antiqua"/>
      <family val="1"/>
      <charset val="204"/>
    </font>
    <font>
      <b/>
      <sz val="12"/>
      <color theme="0"/>
      <name val="Book Antiqua"/>
      <family val="1"/>
      <charset val="204"/>
    </font>
    <font>
      <b/>
      <sz val="14"/>
      <color rgb="FFFF0000"/>
      <name val="Book Antiqua"/>
      <family val="1"/>
      <charset val="204"/>
    </font>
    <font>
      <b/>
      <sz val="10"/>
      <color rgb="FFFF0000"/>
      <name val="Book Antiqua"/>
      <family val="1"/>
      <charset val="204"/>
    </font>
    <font>
      <b/>
      <sz val="10"/>
      <color theme="4" tint="-0.499984740745262"/>
      <name val="Book Antiqua"/>
      <family val="1"/>
      <charset val="204"/>
    </font>
    <font>
      <b/>
      <sz val="10"/>
      <color rgb="FF002060"/>
      <name val="Book Antiqua"/>
      <family val="1"/>
      <charset val="204"/>
    </font>
    <font>
      <b/>
      <sz val="14"/>
      <color rgb="FFFFFF00"/>
      <name val="Book Antiqua"/>
      <family val="1"/>
      <charset val="204"/>
    </font>
    <font>
      <b/>
      <sz val="10"/>
      <color theme="3"/>
      <name val="Book Antiqua"/>
      <family val="1"/>
      <charset val="204"/>
    </font>
    <font>
      <b/>
      <sz val="10"/>
      <color theme="3" tint="-0.499984740745262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186">
    <xf numFmtId="0" fontId="0" fillId="0" borderId="0" xfId="0"/>
    <xf numFmtId="0" fontId="13" fillId="0" borderId="0" xfId="0" applyFont="1"/>
    <xf numFmtId="3" fontId="13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49" fontId="15" fillId="0" borderId="1" xfId="1" applyNumberFormat="1" applyFont="1" applyFill="1" applyBorder="1" applyAlignment="1" applyProtection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 applyProtection="1">
      <alignment horizontal="center"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4" fillId="0" borderId="4" xfId="3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15" fillId="0" borderId="3" xfId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3" fillId="0" borderId="1" xfId="1" applyFont="1" applyBorder="1" applyAlignment="1" applyProtection="1">
      <alignment horizontal="center" vertical="center"/>
    </xf>
    <xf numFmtId="0" fontId="20" fillId="0" borderId="1" xfId="0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9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4" fillId="0" borderId="1" xfId="1" applyNumberFormat="1" applyFont="1" applyBorder="1" applyAlignment="1" applyProtection="1">
      <alignment horizontal="center" vertical="center"/>
    </xf>
    <xf numFmtId="0" fontId="2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4" fillId="0" borderId="0" xfId="1" applyFont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/>
    <xf numFmtId="0" fontId="1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25" fillId="0" borderId="1" xfId="1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3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center" vertical="center"/>
    </xf>
    <xf numFmtId="0" fontId="15" fillId="0" borderId="3" xfId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13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4" fillId="0" borderId="1" xfId="1" applyFont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7" fillId="0" borderId="1" xfId="1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8" fillId="0" borderId="1" xfId="1" applyFont="1" applyBorder="1" applyAlignment="1" applyProtection="1">
      <alignment horizontal="center" vertical="center"/>
    </xf>
    <xf numFmtId="0" fontId="28" fillId="0" borderId="1" xfId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4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0" fillId="0" borderId="1" xfId="3" applyNumberFormat="1" applyFont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jpeg"/><Relationship Id="rId18" Type="http://schemas.openxmlformats.org/officeDocument/2006/relationships/image" Target="../media/image32.jpeg"/><Relationship Id="rId26" Type="http://schemas.openxmlformats.org/officeDocument/2006/relationships/image" Target="../media/image40.png"/><Relationship Id="rId3" Type="http://schemas.openxmlformats.org/officeDocument/2006/relationships/image" Target="../media/image17.jpeg"/><Relationship Id="rId21" Type="http://schemas.openxmlformats.org/officeDocument/2006/relationships/image" Target="../media/image35.jpe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17" Type="http://schemas.openxmlformats.org/officeDocument/2006/relationships/image" Target="../media/image31.jpeg"/><Relationship Id="rId25" Type="http://schemas.openxmlformats.org/officeDocument/2006/relationships/image" Target="../media/image39.png"/><Relationship Id="rId2" Type="http://schemas.openxmlformats.org/officeDocument/2006/relationships/image" Target="../media/image16.jpeg"/><Relationship Id="rId16" Type="http://schemas.openxmlformats.org/officeDocument/2006/relationships/image" Target="../media/image30.jpeg"/><Relationship Id="rId20" Type="http://schemas.openxmlformats.org/officeDocument/2006/relationships/image" Target="../media/image34.jpeg"/><Relationship Id="rId29" Type="http://schemas.openxmlformats.org/officeDocument/2006/relationships/image" Target="../media/image43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5.jpeg"/><Relationship Id="rId24" Type="http://schemas.openxmlformats.org/officeDocument/2006/relationships/image" Target="../media/image38.png"/><Relationship Id="rId5" Type="http://schemas.openxmlformats.org/officeDocument/2006/relationships/image" Target="../media/image19.jpeg"/><Relationship Id="rId15" Type="http://schemas.openxmlformats.org/officeDocument/2006/relationships/image" Target="../media/image29.jpeg"/><Relationship Id="rId23" Type="http://schemas.openxmlformats.org/officeDocument/2006/relationships/image" Target="../media/image37.png"/><Relationship Id="rId28" Type="http://schemas.openxmlformats.org/officeDocument/2006/relationships/image" Target="../media/image42.jpeg"/><Relationship Id="rId10" Type="http://schemas.openxmlformats.org/officeDocument/2006/relationships/image" Target="../media/image24.jpeg"/><Relationship Id="rId19" Type="http://schemas.openxmlformats.org/officeDocument/2006/relationships/image" Target="../media/image33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jpeg"/><Relationship Id="rId22" Type="http://schemas.openxmlformats.org/officeDocument/2006/relationships/image" Target="../media/image36.jpeg"/><Relationship Id="rId27" Type="http://schemas.openxmlformats.org/officeDocument/2006/relationships/image" Target="../media/image4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jpeg"/><Relationship Id="rId3" Type="http://schemas.openxmlformats.org/officeDocument/2006/relationships/image" Target="../media/image46.jpeg"/><Relationship Id="rId7" Type="http://schemas.openxmlformats.org/officeDocument/2006/relationships/image" Target="../media/image50.jpeg"/><Relationship Id="rId12" Type="http://schemas.openxmlformats.org/officeDocument/2006/relationships/image" Target="../media/image55.jpeg"/><Relationship Id="rId2" Type="http://schemas.openxmlformats.org/officeDocument/2006/relationships/image" Target="../media/image45.jpeg"/><Relationship Id="rId1" Type="http://schemas.openxmlformats.org/officeDocument/2006/relationships/image" Target="../media/image44.jpeg"/><Relationship Id="rId6" Type="http://schemas.openxmlformats.org/officeDocument/2006/relationships/image" Target="../media/image49.jpeg"/><Relationship Id="rId11" Type="http://schemas.openxmlformats.org/officeDocument/2006/relationships/image" Target="../media/image54.jpeg"/><Relationship Id="rId5" Type="http://schemas.openxmlformats.org/officeDocument/2006/relationships/image" Target="../media/image48.jpeg"/><Relationship Id="rId10" Type="http://schemas.openxmlformats.org/officeDocument/2006/relationships/image" Target="../media/image53.jpeg"/><Relationship Id="rId4" Type="http://schemas.openxmlformats.org/officeDocument/2006/relationships/image" Target="../media/image47.jpeg"/><Relationship Id="rId9" Type="http://schemas.openxmlformats.org/officeDocument/2006/relationships/image" Target="../media/image52.jpe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8.jpeg"/><Relationship Id="rId18" Type="http://schemas.openxmlformats.org/officeDocument/2006/relationships/image" Target="../media/image73.png"/><Relationship Id="rId26" Type="http://schemas.openxmlformats.org/officeDocument/2006/relationships/image" Target="../media/image81.jpeg"/><Relationship Id="rId39" Type="http://schemas.openxmlformats.org/officeDocument/2006/relationships/image" Target="../media/image94.jpeg"/><Relationship Id="rId21" Type="http://schemas.openxmlformats.org/officeDocument/2006/relationships/image" Target="../media/image76.png"/><Relationship Id="rId34" Type="http://schemas.openxmlformats.org/officeDocument/2006/relationships/image" Target="../media/image89.jpeg"/><Relationship Id="rId42" Type="http://schemas.openxmlformats.org/officeDocument/2006/relationships/image" Target="../media/image97.gif"/><Relationship Id="rId7" Type="http://schemas.openxmlformats.org/officeDocument/2006/relationships/image" Target="../media/image62.jpeg"/><Relationship Id="rId2" Type="http://schemas.openxmlformats.org/officeDocument/2006/relationships/image" Target="../media/image57.jpeg"/><Relationship Id="rId16" Type="http://schemas.openxmlformats.org/officeDocument/2006/relationships/image" Target="../media/image71.jpeg"/><Relationship Id="rId20" Type="http://schemas.openxmlformats.org/officeDocument/2006/relationships/image" Target="../media/image75.jpeg"/><Relationship Id="rId29" Type="http://schemas.openxmlformats.org/officeDocument/2006/relationships/image" Target="../media/image84.jpeg"/><Relationship Id="rId41" Type="http://schemas.openxmlformats.org/officeDocument/2006/relationships/image" Target="../media/image96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11" Type="http://schemas.openxmlformats.org/officeDocument/2006/relationships/image" Target="../media/image66.jpeg"/><Relationship Id="rId24" Type="http://schemas.openxmlformats.org/officeDocument/2006/relationships/image" Target="../media/image79.jpeg"/><Relationship Id="rId32" Type="http://schemas.openxmlformats.org/officeDocument/2006/relationships/image" Target="../media/image87.jpeg"/><Relationship Id="rId37" Type="http://schemas.openxmlformats.org/officeDocument/2006/relationships/image" Target="../media/image92.jpeg"/><Relationship Id="rId40" Type="http://schemas.openxmlformats.org/officeDocument/2006/relationships/image" Target="../media/image95.png"/><Relationship Id="rId5" Type="http://schemas.openxmlformats.org/officeDocument/2006/relationships/image" Target="../media/image60.jpeg"/><Relationship Id="rId15" Type="http://schemas.openxmlformats.org/officeDocument/2006/relationships/image" Target="../media/image70.jpeg"/><Relationship Id="rId23" Type="http://schemas.openxmlformats.org/officeDocument/2006/relationships/image" Target="../media/image78.jpeg"/><Relationship Id="rId28" Type="http://schemas.openxmlformats.org/officeDocument/2006/relationships/image" Target="../media/image83.jpeg"/><Relationship Id="rId36" Type="http://schemas.openxmlformats.org/officeDocument/2006/relationships/image" Target="../media/image91.jpeg"/><Relationship Id="rId10" Type="http://schemas.openxmlformats.org/officeDocument/2006/relationships/image" Target="../media/image65.jpeg"/><Relationship Id="rId19" Type="http://schemas.openxmlformats.org/officeDocument/2006/relationships/image" Target="../media/image74.jpeg"/><Relationship Id="rId31" Type="http://schemas.openxmlformats.org/officeDocument/2006/relationships/image" Target="../media/image86.jpeg"/><Relationship Id="rId4" Type="http://schemas.openxmlformats.org/officeDocument/2006/relationships/image" Target="../media/image59.jpeg"/><Relationship Id="rId9" Type="http://schemas.openxmlformats.org/officeDocument/2006/relationships/image" Target="../media/image64.jpeg"/><Relationship Id="rId14" Type="http://schemas.openxmlformats.org/officeDocument/2006/relationships/image" Target="../media/image69.jpeg"/><Relationship Id="rId22" Type="http://schemas.openxmlformats.org/officeDocument/2006/relationships/image" Target="../media/image77.png"/><Relationship Id="rId27" Type="http://schemas.openxmlformats.org/officeDocument/2006/relationships/image" Target="../media/image82.jpeg"/><Relationship Id="rId30" Type="http://schemas.openxmlformats.org/officeDocument/2006/relationships/image" Target="../media/image85.jpeg"/><Relationship Id="rId35" Type="http://schemas.openxmlformats.org/officeDocument/2006/relationships/image" Target="../media/image90.jpeg"/><Relationship Id="rId8" Type="http://schemas.openxmlformats.org/officeDocument/2006/relationships/image" Target="../media/image63.jpeg"/><Relationship Id="rId3" Type="http://schemas.openxmlformats.org/officeDocument/2006/relationships/image" Target="../media/image58.jpeg"/><Relationship Id="rId12" Type="http://schemas.openxmlformats.org/officeDocument/2006/relationships/image" Target="../media/image67.jpeg"/><Relationship Id="rId17" Type="http://schemas.openxmlformats.org/officeDocument/2006/relationships/image" Target="../media/image72.png"/><Relationship Id="rId25" Type="http://schemas.openxmlformats.org/officeDocument/2006/relationships/image" Target="../media/image80.jpeg"/><Relationship Id="rId33" Type="http://schemas.openxmlformats.org/officeDocument/2006/relationships/image" Target="../media/image88.jpeg"/><Relationship Id="rId38" Type="http://schemas.openxmlformats.org/officeDocument/2006/relationships/image" Target="../media/image93.jpe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0.jpeg"/><Relationship Id="rId18" Type="http://schemas.openxmlformats.org/officeDocument/2006/relationships/image" Target="../media/image115.jpeg"/><Relationship Id="rId26" Type="http://schemas.openxmlformats.org/officeDocument/2006/relationships/image" Target="../media/image123.jpeg"/><Relationship Id="rId39" Type="http://schemas.openxmlformats.org/officeDocument/2006/relationships/image" Target="../media/image136.jpeg"/><Relationship Id="rId21" Type="http://schemas.openxmlformats.org/officeDocument/2006/relationships/image" Target="../media/image118.jpeg"/><Relationship Id="rId34" Type="http://schemas.openxmlformats.org/officeDocument/2006/relationships/image" Target="../media/image131.jpeg"/><Relationship Id="rId42" Type="http://schemas.openxmlformats.org/officeDocument/2006/relationships/image" Target="../media/image139.jpeg"/><Relationship Id="rId7" Type="http://schemas.openxmlformats.org/officeDocument/2006/relationships/image" Target="../media/image104.jpeg"/><Relationship Id="rId2" Type="http://schemas.openxmlformats.org/officeDocument/2006/relationships/image" Target="../media/image99.jpeg"/><Relationship Id="rId16" Type="http://schemas.openxmlformats.org/officeDocument/2006/relationships/image" Target="../media/image113.jpeg"/><Relationship Id="rId20" Type="http://schemas.openxmlformats.org/officeDocument/2006/relationships/image" Target="../media/image117.jpeg"/><Relationship Id="rId29" Type="http://schemas.openxmlformats.org/officeDocument/2006/relationships/image" Target="../media/image126.jpeg"/><Relationship Id="rId41" Type="http://schemas.openxmlformats.org/officeDocument/2006/relationships/image" Target="../media/image138.jpeg"/><Relationship Id="rId1" Type="http://schemas.openxmlformats.org/officeDocument/2006/relationships/image" Target="../media/image98.jpeg"/><Relationship Id="rId6" Type="http://schemas.openxmlformats.org/officeDocument/2006/relationships/image" Target="../media/image103.jpeg"/><Relationship Id="rId11" Type="http://schemas.openxmlformats.org/officeDocument/2006/relationships/image" Target="../media/image108.jpeg"/><Relationship Id="rId24" Type="http://schemas.openxmlformats.org/officeDocument/2006/relationships/image" Target="../media/image121.jpeg"/><Relationship Id="rId32" Type="http://schemas.openxmlformats.org/officeDocument/2006/relationships/image" Target="../media/image129.jpeg"/><Relationship Id="rId37" Type="http://schemas.openxmlformats.org/officeDocument/2006/relationships/image" Target="../media/image134.jpeg"/><Relationship Id="rId40" Type="http://schemas.openxmlformats.org/officeDocument/2006/relationships/image" Target="../media/image137.jpeg"/><Relationship Id="rId5" Type="http://schemas.openxmlformats.org/officeDocument/2006/relationships/image" Target="../media/image102.jpeg"/><Relationship Id="rId15" Type="http://schemas.openxmlformats.org/officeDocument/2006/relationships/image" Target="../media/image112.jpeg"/><Relationship Id="rId23" Type="http://schemas.openxmlformats.org/officeDocument/2006/relationships/image" Target="../media/image120.jpeg"/><Relationship Id="rId28" Type="http://schemas.openxmlformats.org/officeDocument/2006/relationships/image" Target="../media/image125.jpeg"/><Relationship Id="rId36" Type="http://schemas.openxmlformats.org/officeDocument/2006/relationships/image" Target="../media/image133.jpeg"/><Relationship Id="rId10" Type="http://schemas.openxmlformats.org/officeDocument/2006/relationships/image" Target="../media/image107.jpeg"/><Relationship Id="rId19" Type="http://schemas.openxmlformats.org/officeDocument/2006/relationships/image" Target="../media/image116.jpeg"/><Relationship Id="rId31" Type="http://schemas.openxmlformats.org/officeDocument/2006/relationships/image" Target="../media/image128.jpeg"/><Relationship Id="rId4" Type="http://schemas.openxmlformats.org/officeDocument/2006/relationships/image" Target="../media/image101.jpeg"/><Relationship Id="rId9" Type="http://schemas.openxmlformats.org/officeDocument/2006/relationships/image" Target="../media/image106.jpeg"/><Relationship Id="rId14" Type="http://schemas.openxmlformats.org/officeDocument/2006/relationships/image" Target="../media/image111.jpeg"/><Relationship Id="rId22" Type="http://schemas.openxmlformats.org/officeDocument/2006/relationships/image" Target="../media/image119.jpeg"/><Relationship Id="rId27" Type="http://schemas.openxmlformats.org/officeDocument/2006/relationships/image" Target="../media/image124.jpeg"/><Relationship Id="rId30" Type="http://schemas.openxmlformats.org/officeDocument/2006/relationships/image" Target="../media/image127.jpeg"/><Relationship Id="rId35" Type="http://schemas.openxmlformats.org/officeDocument/2006/relationships/image" Target="../media/image132.jpeg"/><Relationship Id="rId8" Type="http://schemas.openxmlformats.org/officeDocument/2006/relationships/image" Target="../media/image105.jpeg"/><Relationship Id="rId3" Type="http://schemas.openxmlformats.org/officeDocument/2006/relationships/image" Target="../media/image100.jpeg"/><Relationship Id="rId12" Type="http://schemas.openxmlformats.org/officeDocument/2006/relationships/image" Target="../media/image109.jpeg"/><Relationship Id="rId17" Type="http://schemas.openxmlformats.org/officeDocument/2006/relationships/image" Target="../media/image114.jpeg"/><Relationship Id="rId25" Type="http://schemas.openxmlformats.org/officeDocument/2006/relationships/image" Target="../media/image122.jpeg"/><Relationship Id="rId33" Type="http://schemas.openxmlformats.org/officeDocument/2006/relationships/image" Target="../media/image130.jpeg"/><Relationship Id="rId38" Type="http://schemas.openxmlformats.org/officeDocument/2006/relationships/image" Target="../media/image135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7.jpeg"/><Relationship Id="rId13" Type="http://schemas.openxmlformats.org/officeDocument/2006/relationships/image" Target="../media/image152.jpeg"/><Relationship Id="rId18" Type="http://schemas.openxmlformats.org/officeDocument/2006/relationships/image" Target="../media/image157.jpeg"/><Relationship Id="rId3" Type="http://schemas.openxmlformats.org/officeDocument/2006/relationships/image" Target="../media/image142.jpeg"/><Relationship Id="rId7" Type="http://schemas.openxmlformats.org/officeDocument/2006/relationships/image" Target="../media/image146.jpeg"/><Relationship Id="rId12" Type="http://schemas.openxmlformats.org/officeDocument/2006/relationships/image" Target="../media/image151.jpeg"/><Relationship Id="rId17" Type="http://schemas.openxmlformats.org/officeDocument/2006/relationships/image" Target="../media/image156.jpeg"/><Relationship Id="rId2" Type="http://schemas.openxmlformats.org/officeDocument/2006/relationships/image" Target="../media/image141.jpeg"/><Relationship Id="rId16" Type="http://schemas.openxmlformats.org/officeDocument/2006/relationships/image" Target="../media/image155.jpeg"/><Relationship Id="rId1" Type="http://schemas.openxmlformats.org/officeDocument/2006/relationships/image" Target="../media/image140.jpeg"/><Relationship Id="rId6" Type="http://schemas.openxmlformats.org/officeDocument/2006/relationships/image" Target="../media/image145.jpeg"/><Relationship Id="rId11" Type="http://schemas.openxmlformats.org/officeDocument/2006/relationships/image" Target="../media/image150.jpeg"/><Relationship Id="rId5" Type="http://schemas.openxmlformats.org/officeDocument/2006/relationships/image" Target="../media/image144.jpeg"/><Relationship Id="rId15" Type="http://schemas.openxmlformats.org/officeDocument/2006/relationships/image" Target="../media/image154.jpeg"/><Relationship Id="rId10" Type="http://schemas.openxmlformats.org/officeDocument/2006/relationships/image" Target="../media/image149.jpeg"/><Relationship Id="rId4" Type="http://schemas.openxmlformats.org/officeDocument/2006/relationships/image" Target="../media/image143.jpeg"/><Relationship Id="rId9" Type="http://schemas.openxmlformats.org/officeDocument/2006/relationships/image" Target="../media/image148.jpeg"/><Relationship Id="rId14" Type="http://schemas.openxmlformats.org/officeDocument/2006/relationships/image" Target="../media/image153.jpe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0.jpeg"/><Relationship Id="rId18" Type="http://schemas.openxmlformats.org/officeDocument/2006/relationships/image" Target="../media/image175.jpeg"/><Relationship Id="rId26" Type="http://schemas.openxmlformats.org/officeDocument/2006/relationships/image" Target="../media/image183.jpeg"/><Relationship Id="rId39" Type="http://schemas.openxmlformats.org/officeDocument/2006/relationships/image" Target="../media/image196.jpeg"/><Relationship Id="rId21" Type="http://schemas.openxmlformats.org/officeDocument/2006/relationships/image" Target="../media/image178.jpeg"/><Relationship Id="rId34" Type="http://schemas.openxmlformats.org/officeDocument/2006/relationships/image" Target="../media/image191.jpeg"/><Relationship Id="rId42" Type="http://schemas.openxmlformats.org/officeDocument/2006/relationships/image" Target="../media/image199.jpeg"/><Relationship Id="rId47" Type="http://schemas.openxmlformats.org/officeDocument/2006/relationships/image" Target="../media/image204.jpeg"/><Relationship Id="rId7" Type="http://schemas.openxmlformats.org/officeDocument/2006/relationships/image" Target="../media/image164.jpeg"/><Relationship Id="rId2" Type="http://schemas.openxmlformats.org/officeDocument/2006/relationships/image" Target="../media/image159.jpeg"/><Relationship Id="rId16" Type="http://schemas.openxmlformats.org/officeDocument/2006/relationships/image" Target="../media/image173.jpeg"/><Relationship Id="rId29" Type="http://schemas.openxmlformats.org/officeDocument/2006/relationships/image" Target="../media/image186.jpeg"/><Relationship Id="rId1" Type="http://schemas.openxmlformats.org/officeDocument/2006/relationships/image" Target="../media/image158.jpeg"/><Relationship Id="rId6" Type="http://schemas.openxmlformats.org/officeDocument/2006/relationships/image" Target="../media/image163.jpeg"/><Relationship Id="rId11" Type="http://schemas.openxmlformats.org/officeDocument/2006/relationships/image" Target="../media/image168.jpeg"/><Relationship Id="rId24" Type="http://schemas.openxmlformats.org/officeDocument/2006/relationships/image" Target="../media/image181.jpeg"/><Relationship Id="rId32" Type="http://schemas.openxmlformats.org/officeDocument/2006/relationships/image" Target="../media/image189.jpeg"/><Relationship Id="rId37" Type="http://schemas.openxmlformats.org/officeDocument/2006/relationships/image" Target="../media/image194.jpeg"/><Relationship Id="rId40" Type="http://schemas.openxmlformats.org/officeDocument/2006/relationships/image" Target="../media/image197.jpeg"/><Relationship Id="rId45" Type="http://schemas.openxmlformats.org/officeDocument/2006/relationships/image" Target="../media/image202.jpeg"/><Relationship Id="rId5" Type="http://schemas.openxmlformats.org/officeDocument/2006/relationships/image" Target="../media/image162.jpeg"/><Relationship Id="rId15" Type="http://schemas.openxmlformats.org/officeDocument/2006/relationships/image" Target="../media/image172.jpeg"/><Relationship Id="rId23" Type="http://schemas.openxmlformats.org/officeDocument/2006/relationships/image" Target="../media/image180.jpeg"/><Relationship Id="rId28" Type="http://schemas.openxmlformats.org/officeDocument/2006/relationships/image" Target="../media/image185.jpeg"/><Relationship Id="rId36" Type="http://schemas.openxmlformats.org/officeDocument/2006/relationships/image" Target="../media/image193.jpeg"/><Relationship Id="rId10" Type="http://schemas.openxmlformats.org/officeDocument/2006/relationships/image" Target="../media/image167.jpeg"/><Relationship Id="rId19" Type="http://schemas.openxmlformats.org/officeDocument/2006/relationships/image" Target="../media/image176.jpeg"/><Relationship Id="rId31" Type="http://schemas.openxmlformats.org/officeDocument/2006/relationships/image" Target="../media/image188.jpeg"/><Relationship Id="rId44" Type="http://schemas.openxmlformats.org/officeDocument/2006/relationships/image" Target="../media/image201.jpeg"/><Relationship Id="rId4" Type="http://schemas.openxmlformats.org/officeDocument/2006/relationships/image" Target="../media/image161.jpeg"/><Relationship Id="rId9" Type="http://schemas.openxmlformats.org/officeDocument/2006/relationships/image" Target="../media/image166.jpeg"/><Relationship Id="rId14" Type="http://schemas.openxmlformats.org/officeDocument/2006/relationships/image" Target="../media/image171.jpeg"/><Relationship Id="rId22" Type="http://schemas.openxmlformats.org/officeDocument/2006/relationships/image" Target="../media/image179.jpeg"/><Relationship Id="rId27" Type="http://schemas.openxmlformats.org/officeDocument/2006/relationships/image" Target="../media/image184.jpeg"/><Relationship Id="rId30" Type="http://schemas.openxmlformats.org/officeDocument/2006/relationships/image" Target="../media/image187.jpeg"/><Relationship Id="rId35" Type="http://schemas.openxmlformats.org/officeDocument/2006/relationships/image" Target="../media/image192.jpeg"/><Relationship Id="rId43" Type="http://schemas.openxmlformats.org/officeDocument/2006/relationships/image" Target="../media/image200.jpeg"/><Relationship Id="rId8" Type="http://schemas.openxmlformats.org/officeDocument/2006/relationships/image" Target="../media/image165.jpeg"/><Relationship Id="rId3" Type="http://schemas.openxmlformats.org/officeDocument/2006/relationships/image" Target="../media/image160.jpeg"/><Relationship Id="rId12" Type="http://schemas.openxmlformats.org/officeDocument/2006/relationships/image" Target="../media/image169.jpeg"/><Relationship Id="rId17" Type="http://schemas.openxmlformats.org/officeDocument/2006/relationships/image" Target="../media/image174.jpeg"/><Relationship Id="rId25" Type="http://schemas.openxmlformats.org/officeDocument/2006/relationships/image" Target="../media/image182.jpeg"/><Relationship Id="rId33" Type="http://schemas.openxmlformats.org/officeDocument/2006/relationships/image" Target="../media/image190.jpeg"/><Relationship Id="rId38" Type="http://schemas.openxmlformats.org/officeDocument/2006/relationships/image" Target="../media/image195.jpeg"/><Relationship Id="rId46" Type="http://schemas.openxmlformats.org/officeDocument/2006/relationships/image" Target="../media/image203.jpeg"/><Relationship Id="rId20" Type="http://schemas.openxmlformats.org/officeDocument/2006/relationships/image" Target="../media/image177.jpeg"/><Relationship Id="rId41" Type="http://schemas.openxmlformats.org/officeDocument/2006/relationships/image" Target="../media/image198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6.jpeg"/><Relationship Id="rId1" Type="http://schemas.openxmlformats.org/officeDocument/2006/relationships/image" Target="../media/image20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9.jpeg"/><Relationship Id="rId2" Type="http://schemas.openxmlformats.org/officeDocument/2006/relationships/image" Target="../media/image208.jpeg"/><Relationship Id="rId1" Type="http://schemas.openxmlformats.org/officeDocument/2006/relationships/image" Target="../media/image207.jpeg"/><Relationship Id="rId5" Type="http://schemas.openxmlformats.org/officeDocument/2006/relationships/image" Target="../media/image211.jpeg"/><Relationship Id="rId4" Type="http://schemas.openxmlformats.org/officeDocument/2006/relationships/image" Target="../media/image210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3.jpeg"/><Relationship Id="rId1" Type="http://schemas.openxmlformats.org/officeDocument/2006/relationships/image" Target="../media/image212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1.jpeg"/><Relationship Id="rId13" Type="http://schemas.openxmlformats.org/officeDocument/2006/relationships/image" Target="../media/image226.jpeg"/><Relationship Id="rId3" Type="http://schemas.openxmlformats.org/officeDocument/2006/relationships/image" Target="../media/image216.jpeg"/><Relationship Id="rId7" Type="http://schemas.openxmlformats.org/officeDocument/2006/relationships/image" Target="../media/image220.jpeg"/><Relationship Id="rId12" Type="http://schemas.openxmlformats.org/officeDocument/2006/relationships/image" Target="../media/image225.jpeg"/><Relationship Id="rId2" Type="http://schemas.openxmlformats.org/officeDocument/2006/relationships/image" Target="../media/image215.jpeg"/><Relationship Id="rId1" Type="http://schemas.openxmlformats.org/officeDocument/2006/relationships/image" Target="../media/image214.jpeg"/><Relationship Id="rId6" Type="http://schemas.openxmlformats.org/officeDocument/2006/relationships/image" Target="../media/image219.jpeg"/><Relationship Id="rId11" Type="http://schemas.openxmlformats.org/officeDocument/2006/relationships/image" Target="../media/image224.jpeg"/><Relationship Id="rId5" Type="http://schemas.openxmlformats.org/officeDocument/2006/relationships/image" Target="../media/image218.jpeg"/><Relationship Id="rId15" Type="http://schemas.openxmlformats.org/officeDocument/2006/relationships/image" Target="../media/image228.jpeg"/><Relationship Id="rId10" Type="http://schemas.openxmlformats.org/officeDocument/2006/relationships/image" Target="../media/image223.jpeg"/><Relationship Id="rId4" Type="http://schemas.openxmlformats.org/officeDocument/2006/relationships/image" Target="../media/image217.jpeg"/><Relationship Id="rId9" Type="http://schemas.openxmlformats.org/officeDocument/2006/relationships/image" Target="../media/image222.jpeg"/><Relationship Id="rId14" Type="http://schemas.openxmlformats.org/officeDocument/2006/relationships/image" Target="../media/image227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1.jpeg"/><Relationship Id="rId2" Type="http://schemas.openxmlformats.org/officeDocument/2006/relationships/image" Target="../media/image230.jpeg"/><Relationship Id="rId1" Type="http://schemas.openxmlformats.org/officeDocument/2006/relationships/image" Target="../media/image229.jpeg"/><Relationship Id="rId4" Type="http://schemas.openxmlformats.org/officeDocument/2006/relationships/image" Target="../media/image232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5.jpeg"/><Relationship Id="rId2" Type="http://schemas.openxmlformats.org/officeDocument/2006/relationships/image" Target="../media/image234.jpeg"/><Relationship Id="rId1" Type="http://schemas.openxmlformats.org/officeDocument/2006/relationships/image" Target="../media/image233.jpeg"/><Relationship Id="rId5" Type="http://schemas.openxmlformats.org/officeDocument/2006/relationships/image" Target="../media/image237.jpeg"/><Relationship Id="rId4" Type="http://schemas.openxmlformats.org/officeDocument/2006/relationships/image" Target="../media/image236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9.jpeg"/><Relationship Id="rId1" Type="http://schemas.openxmlformats.org/officeDocument/2006/relationships/image" Target="../media/image2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381000</xdr:rowOff>
    </xdr:from>
    <xdr:to>
      <xdr:col>0</xdr:col>
      <xdr:colOff>1495425</xdr:colOff>
      <xdr:row>6</xdr:row>
      <xdr:rowOff>285750</xdr:rowOff>
    </xdr:to>
    <xdr:pic>
      <xdr:nvPicPr>
        <xdr:cNvPr id="1419076" name="Рисунок 5" descr="C:\Users\Денис\Desktop\Картинки для сайта\ДЭМКОМ\DL3s.jpg">
          <a:extLst>
            <a:ext uri="{FF2B5EF4-FFF2-40B4-BE49-F238E27FC236}">
              <a16:creationId xmlns:a16="http://schemas.microsoft.com/office/drawing/2014/main" id="{00000000-0008-0000-0200-000044A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66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</xdr:row>
      <xdr:rowOff>133350</xdr:rowOff>
    </xdr:from>
    <xdr:to>
      <xdr:col>0</xdr:col>
      <xdr:colOff>1495425</xdr:colOff>
      <xdr:row>12</xdr:row>
      <xdr:rowOff>38100</xdr:rowOff>
    </xdr:to>
    <xdr:pic>
      <xdr:nvPicPr>
        <xdr:cNvPr id="1419077" name="Рисунок 6" descr="C:\Users\Денис\Desktop\Картинки для сайта\ДЭМКОМ\DL_130s.jpg">
          <a:extLst>
            <a:ext uri="{FF2B5EF4-FFF2-40B4-BE49-F238E27FC236}">
              <a16:creationId xmlns:a16="http://schemas.microsoft.com/office/drawing/2014/main" id="{00000000-0008-0000-0200-000045A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5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</xdr:row>
      <xdr:rowOff>352425</xdr:rowOff>
    </xdr:from>
    <xdr:to>
      <xdr:col>0</xdr:col>
      <xdr:colOff>1495425</xdr:colOff>
      <xdr:row>16</xdr:row>
      <xdr:rowOff>257175</xdr:rowOff>
    </xdr:to>
    <xdr:pic>
      <xdr:nvPicPr>
        <xdr:cNvPr id="1419078" name="Рисунок 7" descr="C:\Users\Денис\Desktop\Картинки для сайта\ДЭМКОМ\DL_160s.jpg">
          <a:extLst>
            <a:ext uri="{FF2B5EF4-FFF2-40B4-BE49-F238E27FC236}">
              <a16:creationId xmlns:a16="http://schemas.microsoft.com/office/drawing/2014/main" id="{00000000-0008-0000-0200-000046A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</xdr:row>
      <xdr:rowOff>57150</xdr:rowOff>
    </xdr:from>
    <xdr:to>
      <xdr:col>0</xdr:col>
      <xdr:colOff>1495425</xdr:colOff>
      <xdr:row>20</xdr:row>
      <xdr:rowOff>342900</xdr:rowOff>
    </xdr:to>
    <xdr:pic>
      <xdr:nvPicPr>
        <xdr:cNvPr id="1419079" name="Рисунок 8" descr="C:\Users\Денис\Desktop\Картинки для сайта\ДЭМКОМ\DL_200-200s.jpg">
          <a:extLst>
            <a:ext uri="{FF2B5EF4-FFF2-40B4-BE49-F238E27FC236}">
              <a16:creationId xmlns:a16="http://schemas.microsoft.com/office/drawing/2014/main" id="{00000000-0008-0000-0200-000047A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57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22</xdr:row>
      <xdr:rowOff>38100</xdr:rowOff>
    </xdr:from>
    <xdr:to>
      <xdr:col>0</xdr:col>
      <xdr:colOff>1362075</xdr:colOff>
      <xdr:row>22</xdr:row>
      <xdr:rowOff>1228725</xdr:rowOff>
    </xdr:to>
    <xdr:pic>
      <xdr:nvPicPr>
        <xdr:cNvPr id="1419080" name="Рисунок 5" descr="C:\Users\Денис\Desktop\vind.jpg">
          <a:extLst>
            <a:ext uri="{FF2B5EF4-FFF2-40B4-BE49-F238E27FC236}">
              <a16:creationId xmlns:a16="http://schemas.microsoft.com/office/drawing/2014/main" id="{00000000-0008-0000-0200-000048A71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10575"/>
          <a:ext cx="11811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</xdr:rowOff>
    </xdr:from>
    <xdr:to>
      <xdr:col>0</xdr:col>
      <xdr:colOff>1495425</xdr:colOff>
      <xdr:row>4</xdr:row>
      <xdr:rowOff>457200</xdr:rowOff>
    </xdr:to>
    <xdr:pic>
      <xdr:nvPicPr>
        <xdr:cNvPr id="1455232" name="Рисунок 6" descr="C:\Users\Денис\Desktop\Картинки для сайта\ДЭМКОМ\DA_microan_sm.jpg">
          <a:extLst>
            <a:ext uri="{FF2B5EF4-FFF2-40B4-BE49-F238E27FC236}">
              <a16:creationId xmlns:a16="http://schemas.microsoft.com/office/drawing/2014/main" id="{00000000-0008-0000-0300-00008034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39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</xdr:row>
      <xdr:rowOff>38100</xdr:rowOff>
    </xdr:from>
    <xdr:to>
      <xdr:col>0</xdr:col>
      <xdr:colOff>1495425</xdr:colOff>
      <xdr:row>18</xdr:row>
      <xdr:rowOff>323850</xdr:rowOff>
    </xdr:to>
    <xdr:pic>
      <xdr:nvPicPr>
        <xdr:cNvPr id="1455233" name="Рисунок 8" descr="C:\Users\Денис\Desktop\Картинки для сайта\ДЭМКОМ\DA_an_sm.jpg">
          <a:extLst>
            <a:ext uri="{FF2B5EF4-FFF2-40B4-BE49-F238E27FC236}">
              <a16:creationId xmlns:a16="http://schemas.microsoft.com/office/drawing/2014/main" id="{00000000-0008-0000-0300-00008134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95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28575</xdr:rowOff>
    </xdr:from>
    <xdr:to>
      <xdr:col>0</xdr:col>
      <xdr:colOff>1504950</xdr:colOff>
      <xdr:row>32</xdr:row>
      <xdr:rowOff>314325</xdr:rowOff>
    </xdr:to>
    <xdr:pic>
      <xdr:nvPicPr>
        <xdr:cNvPr id="1455234" name="Рисунок 11" descr="C:\Users\Денис\Desktop\Картинки для сайта\ДЭМКОМ\DA_1mg_sm.jpg">
          <a:extLst>
            <a:ext uri="{FF2B5EF4-FFF2-40B4-BE49-F238E27FC236}">
              <a16:creationId xmlns:a16="http://schemas.microsoft.com/office/drawing/2014/main" id="{00000000-0008-0000-0300-00008234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467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32</xdr:row>
      <xdr:rowOff>76200</xdr:rowOff>
    </xdr:from>
    <xdr:to>
      <xdr:col>0</xdr:col>
      <xdr:colOff>1495425</xdr:colOff>
      <xdr:row>35</xdr:row>
      <xdr:rowOff>361950</xdr:rowOff>
    </xdr:to>
    <xdr:pic>
      <xdr:nvPicPr>
        <xdr:cNvPr id="1455235" name="Рисунок 12" descr="C:\Users\Денис\Desktop\Картинки для сайта\ДЭМКОМ\DA_2103_sm.jpg">
          <a:extLst>
            <a:ext uri="{FF2B5EF4-FFF2-40B4-BE49-F238E27FC236}">
              <a16:creationId xmlns:a16="http://schemas.microsoft.com/office/drawing/2014/main" id="{00000000-0008-0000-0300-00008334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583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37</xdr:row>
      <xdr:rowOff>38100</xdr:rowOff>
    </xdr:from>
    <xdr:to>
      <xdr:col>0</xdr:col>
      <xdr:colOff>1495425</xdr:colOff>
      <xdr:row>40</xdr:row>
      <xdr:rowOff>323850</xdr:rowOff>
    </xdr:to>
    <xdr:pic>
      <xdr:nvPicPr>
        <xdr:cNvPr id="1455236" name="Рисунок 13" descr="C:\Users\Денис\Desktop\Картинки для сайта\ДЭМКОМ\DA_10mg_sm.jpg">
          <a:extLst>
            <a:ext uri="{FF2B5EF4-FFF2-40B4-BE49-F238E27FC236}">
              <a16:creationId xmlns:a16="http://schemas.microsoft.com/office/drawing/2014/main" id="{00000000-0008-0000-0300-00008434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25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16</xdr:row>
      <xdr:rowOff>74091</xdr:rowOff>
    </xdr:from>
    <xdr:to>
      <xdr:col>0</xdr:col>
      <xdr:colOff>1492248</xdr:colOff>
      <xdr:row>20</xdr:row>
      <xdr:rowOff>232841</xdr:rowOff>
    </xdr:to>
    <xdr:pic>
      <xdr:nvPicPr>
        <xdr:cNvPr id="8" name="Рисунок 7" descr="D:\Картинки для сайта\Картинки\ACZET\CY_128-128_sm.jp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29167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23</xdr:row>
      <xdr:rowOff>254005</xdr:rowOff>
    </xdr:from>
    <xdr:to>
      <xdr:col>0</xdr:col>
      <xdr:colOff>1502831</xdr:colOff>
      <xdr:row>28</xdr:row>
      <xdr:rowOff>95255</xdr:rowOff>
    </xdr:to>
    <xdr:pic>
      <xdr:nvPicPr>
        <xdr:cNvPr id="9" name="Рисунок 8" descr="D:\Картинки для сайта\Картинки\ACZET\CY_198-205_sm.jp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769408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30</xdr:row>
      <xdr:rowOff>84664</xdr:rowOff>
    </xdr:from>
    <xdr:to>
      <xdr:col>0</xdr:col>
      <xdr:colOff>1492248</xdr:colOff>
      <xdr:row>34</xdr:row>
      <xdr:rowOff>243414</xdr:rowOff>
    </xdr:to>
    <xdr:pic>
      <xdr:nvPicPr>
        <xdr:cNvPr id="10" name="Рисунок 9" descr="D:\Картинки для сайта\Картинки\ACZET\CY_300-400_sm.jp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74724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2</xdr:row>
      <xdr:rowOff>264575</xdr:rowOff>
    </xdr:from>
    <xdr:to>
      <xdr:col>0</xdr:col>
      <xdr:colOff>1502831</xdr:colOff>
      <xdr:row>7</xdr:row>
      <xdr:rowOff>105825</xdr:rowOff>
    </xdr:to>
    <xdr:pic>
      <xdr:nvPicPr>
        <xdr:cNvPr id="11" name="Рисунок 10" descr="D:\Картинки для сайта\Картинки\ACZET\CY_an_sm.jpg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15357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108</xdr:row>
      <xdr:rowOff>219075</xdr:rowOff>
    </xdr:from>
    <xdr:to>
      <xdr:col>0</xdr:col>
      <xdr:colOff>1495425</xdr:colOff>
      <xdr:row>112</xdr:row>
      <xdr:rowOff>123825</xdr:rowOff>
    </xdr:to>
    <xdr:pic>
      <xdr:nvPicPr>
        <xdr:cNvPr id="1460314" name="Рисунок 15" descr="AX-324">
          <a:extLst>
            <a:ext uri="{FF2B5EF4-FFF2-40B4-BE49-F238E27FC236}">
              <a16:creationId xmlns:a16="http://schemas.microsoft.com/office/drawing/2014/main" id="{00000000-0008-0000-0500-00005A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2871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118</xdr:row>
      <xdr:rowOff>171450</xdr:rowOff>
    </xdr:from>
    <xdr:to>
      <xdr:col>0</xdr:col>
      <xdr:colOff>1504950</xdr:colOff>
      <xdr:row>123</xdr:row>
      <xdr:rowOff>219074</xdr:rowOff>
    </xdr:to>
    <xdr:pic>
      <xdr:nvPicPr>
        <xdr:cNvPr id="1460315" name="Рисунок 17" descr="AX-223/E">
          <a:extLst>
            <a:ext uri="{FF2B5EF4-FFF2-40B4-BE49-F238E27FC236}">
              <a16:creationId xmlns:a16="http://schemas.microsoft.com/office/drawing/2014/main" id="{00000000-0008-0000-0500-00005B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7066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126</xdr:row>
      <xdr:rowOff>247650</xdr:rowOff>
    </xdr:from>
    <xdr:to>
      <xdr:col>0</xdr:col>
      <xdr:colOff>1495425</xdr:colOff>
      <xdr:row>132</xdr:row>
      <xdr:rowOff>19049</xdr:rowOff>
    </xdr:to>
    <xdr:pic>
      <xdr:nvPicPr>
        <xdr:cNvPr id="1460316" name="Рисунок 18" descr="AX-622/E">
          <a:extLst>
            <a:ext uri="{FF2B5EF4-FFF2-40B4-BE49-F238E27FC236}">
              <a16:creationId xmlns:a16="http://schemas.microsoft.com/office/drawing/2014/main" id="{00000000-0008-0000-0500-00005C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926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</xdr:row>
      <xdr:rowOff>209550</xdr:rowOff>
    </xdr:from>
    <xdr:to>
      <xdr:col>0</xdr:col>
      <xdr:colOff>1495425</xdr:colOff>
      <xdr:row>6</xdr:row>
      <xdr:rowOff>114300</xdr:rowOff>
    </xdr:to>
    <xdr:pic>
      <xdr:nvPicPr>
        <xdr:cNvPr id="1460317" name="Рисунок 15" descr="C:\Users\Denis\Desktop\Картинки для сайта\Ohaus\EX_micro\EX_micros.jpg">
          <a:extLst>
            <a:ext uri="{FF2B5EF4-FFF2-40B4-BE49-F238E27FC236}">
              <a16:creationId xmlns:a16="http://schemas.microsoft.com/office/drawing/2014/main" id="{00000000-0008-0000-0500-00005D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525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146</xdr:row>
      <xdr:rowOff>57150</xdr:rowOff>
    </xdr:from>
    <xdr:to>
      <xdr:col>0</xdr:col>
      <xdr:colOff>1504950</xdr:colOff>
      <xdr:row>146</xdr:row>
      <xdr:rowOff>1485900</xdr:rowOff>
    </xdr:to>
    <xdr:pic>
      <xdr:nvPicPr>
        <xdr:cNvPr id="1460321" name="Рисунок 18" descr="C:\Users\Денис\Desktop\Картинки для сайта\Ohaus\Анализатор влажности зерна\MC2000s.jpg">
          <a:extLst>
            <a:ext uri="{FF2B5EF4-FFF2-40B4-BE49-F238E27FC236}">
              <a16:creationId xmlns:a16="http://schemas.microsoft.com/office/drawing/2014/main" id="{00000000-0008-0000-0500-000061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2324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167</xdr:row>
      <xdr:rowOff>28575</xdr:rowOff>
    </xdr:from>
    <xdr:to>
      <xdr:col>0</xdr:col>
      <xdr:colOff>1504950</xdr:colOff>
      <xdr:row>171</xdr:row>
      <xdr:rowOff>190500</xdr:rowOff>
    </xdr:to>
    <xdr:pic>
      <xdr:nvPicPr>
        <xdr:cNvPr id="1460322" name="Рисунок 20" descr="C:\Users\Денис\Desktop\Картинки для сайта\Ohaus\STX\STXs.jpg">
          <a:extLst>
            <a:ext uri="{FF2B5EF4-FFF2-40B4-BE49-F238E27FC236}">
              <a16:creationId xmlns:a16="http://schemas.microsoft.com/office/drawing/2014/main" id="{00000000-0008-0000-0500-000062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5191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171</xdr:row>
      <xdr:rowOff>9525</xdr:rowOff>
    </xdr:from>
    <xdr:to>
      <xdr:col>0</xdr:col>
      <xdr:colOff>1504950</xdr:colOff>
      <xdr:row>175</xdr:row>
      <xdr:rowOff>171451</xdr:rowOff>
    </xdr:to>
    <xdr:pic>
      <xdr:nvPicPr>
        <xdr:cNvPr id="1460323" name="Рисунок 21" descr="C:\Users\Денис\Desktop\Картинки для сайта\Ohaus\STX\STX_krugs.jpg">
          <a:extLst>
            <a:ext uri="{FF2B5EF4-FFF2-40B4-BE49-F238E27FC236}">
              <a16:creationId xmlns:a16="http://schemas.microsoft.com/office/drawing/2014/main" id="{00000000-0008-0000-0500-000063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97573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174</xdr:row>
      <xdr:rowOff>133350</xdr:rowOff>
    </xdr:from>
    <xdr:to>
      <xdr:col>0</xdr:col>
      <xdr:colOff>1504950</xdr:colOff>
      <xdr:row>178</xdr:row>
      <xdr:rowOff>295275</xdr:rowOff>
    </xdr:to>
    <xdr:pic>
      <xdr:nvPicPr>
        <xdr:cNvPr id="1460324" name="Рисунок 22" descr="C:\Users\Денис\Desktop\Картинки для сайта\Ohaus\STX\STX_kvads.jpg">
          <a:extLst>
            <a:ext uri="{FF2B5EF4-FFF2-40B4-BE49-F238E27FC236}">
              <a16:creationId xmlns:a16="http://schemas.microsoft.com/office/drawing/2014/main" id="{00000000-0008-0000-0500-000064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08241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182</xdr:row>
      <xdr:rowOff>28575</xdr:rowOff>
    </xdr:from>
    <xdr:to>
      <xdr:col>0</xdr:col>
      <xdr:colOff>1495425</xdr:colOff>
      <xdr:row>186</xdr:row>
      <xdr:rowOff>190500</xdr:rowOff>
    </xdr:to>
    <xdr:pic>
      <xdr:nvPicPr>
        <xdr:cNvPr id="1460325" name="Рисунок 26" descr="C:\Users\Денис\Desktop\Картинки для сайта\Ohaus\STX\SPXs.jpg">
          <a:extLst>
            <a:ext uri="{FF2B5EF4-FFF2-40B4-BE49-F238E27FC236}">
              <a16:creationId xmlns:a16="http://schemas.microsoft.com/office/drawing/2014/main" id="{00000000-0008-0000-0500-000065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33006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185</xdr:row>
      <xdr:rowOff>285750</xdr:rowOff>
    </xdr:from>
    <xdr:to>
      <xdr:col>0</xdr:col>
      <xdr:colOff>1504950</xdr:colOff>
      <xdr:row>190</xdr:row>
      <xdr:rowOff>123824</xdr:rowOff>
    </xdr:to>
    <xdr:pic>
      <xdr:nvPicPr>
        <xdr:cNvPr id="1460326" name="Рисунок 27" descr="C:\Users\Денис\Desktop\Картинки для сайта\Ohaus\STX\SPX_krugs.jpg">
          <a:extLst>
            <a:ext uri="{FF2B5EF4-FFF2-40B4-BE49-F238E27FC236}">
              <a16:creationId xmlns:a16="http://schemas.microsoft.com/office/drawing/2014/main" id="{00000000-0008-0000-0500-000066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4500800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189</xdr:row>
      <xdr:rowOff>133350</xdr:rowOff>
    </xdr:from>
    <xdr:to>
      <xdr:col>0</xdr:col>
      <xdr:colOff>1495425</xdr:colOff>
      <xdr:row>193</xdr:row>
      <xdr:rowOff>295275</xdr:rowOff>
    </xdr:to>
    <xdr:pic>
      <xdr:nvPicPr>
        <xdr:cNvPr id="1460327" name="Рисунок 28" descr="C:\Users\Денис\Desktop\Картинки для сайта\Ohaus\STX\SPX_kvads.jpg">
          <a:extLst>
            <a:ext uri="{FF2B5EF4-FFF2-40B4-BE49-F238E27FC236}">
              <a16:creationId xmlns:a16="http://schemas.microsoft.com/office/drawing/2014/main" id="{00000000-0008-0000-0500-000067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56057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197</xdr:row>
      <xdr:rowOff>38100</xdr:rowOff>
    </xdr:from>
    <xdr:to>
      <xdr:col>0</xdr:col>
      <xdr:colOff>1495425</xdr:colOff>
      <xdr:row>201</xdr:row>
      <xdr:rowOff>200024</xdr:rowOff>
    </xdr:to>
    <xdr:pic>
      <xdr:nvPicPr>
        <xdr:cNvPr id="1460328" name="Рисунок 33" descr="C:\Users\Денис\Desktop\Картинки для сайта\Ohaus\SJX\SJXs.jpg">
          <a:extLst>
            <a:ext uri="{FF2B5EF4-FFF2-40B4-BE49-F238E27FC236}">
              <a16:creationId xmlns:a16="http://schemas.microsoft.com/office/drawing/2014/main" id="{00000000-0008-0000-0500-000068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917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201</xdr:row>
      <xdr:rowOff>9525</xdr:rowOff>
    </xdr:from>
    <xdr:to>
      <xdr:col>0</xdr:col>
      <xdr:colOff>1504950</xdr:colOff>
      <xdr:row>205</xdr:row>
      <xdr:rowOff>171450</xdr:rowOff>
    </xdr:to>
    <xdr:pic>
      <xdr:nvPicPr>
        <xdr:cNvPr id="1460329" name="Рисунок 34" descr="C:\Users\Денис\Desktop\Картинки для сайта\Ohaus\SJX\SJX_krugs.jpg">
          <a:extLst>
            <a:ext uri="{FF2B5EF4-FFF2-40B4-BE49-F238E27FC236}">
              <a16:creationId xmlns:a16="http://schemas.microsoft.com/office/drawing/2014/main" id="{00000000-0008-0000-0500-000069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93204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204</xdr:row>
      <xdr:rowOff>133350</xdr:rowOff>
    </xdr:from>
    <xdr:to>
      <xdr:col>0</xdr:col>
      <xdr:colOff>1504950</xdr:colOff>
      <xdr:row>208</xdr:row>
      <xdr:rowOff>295275</xdr:rowOff>
    </xdr:to>
    <xdr:pic>
      <xdr:nvPicPr>
        <xdr:cNvPr id="1460330" name="Рисунок 35" descr="C:\Users\Денис\Desktop\Картинки для сайта\Ohaus\SJX\SJX_kvads.jpg">
          <a:extLst>
            <a:ext uri="{FF2B5EF4-FFF2-40B4-BE49-F238E27FC236}">
              <a16:creationId xmlns:a16="http://schemas.microsoft.com/office/drawing/2014/main" id="{00000000-0008-0000-0500-00006A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3872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138</xdr:row>
      <xdr:rowOff>266700</xdr:rowOff>
    </xdr:from>
    <xdr:to>
      <xdr:col>0</xdr:col>
      <xdr:colOff>1495425</xdr:colOff>
      <xdr:row>142</xdr:row>
      <xdr:rowOff>171450</xdr:rowOff>
    </xdr:to>
    <xdr:pic>
      <xdr:nvPicPr>
        <xdr:cNvPr id="1460332" name="Рисунок 30" descr="C:\Users\Денис\Desktop\Картинки\Ohaus\MB27_sm.jpg">
          <a:extLst>
            <a:ext uri="{FF2B5EF4-FFF2-40B4-BE49-F238E27FC236}">
              <a16:creationId xmlns:a16="http://schemas.microsoft.com/office/drawing/2014/main" id="{00000000-0008-0000-0500-00006C48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6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66675</xdr:colOff>
      <xdr:row>10</xdr:row>
      <xdr:rowOff>85725</xdr:rowOff>
    </xdr:from>
    <xdr:ext cx="1428750" cy="1427692"/>
    <xdr:pic>
      <xdr:nvPicPr>
        <xdr:cNvPr id="27" name="Рисунок 10" descr="EX-124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185225"/>
          <a:ext cx="1428750" cy="1427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19</xdr:row>
      <xdr:rowOff>124880</xdr:rowOff>
    </xdr:from>
    <xdr:ext cx="1428750" cy="1431925"/>
    <xdr:pic>
      <xdr:nvPicPr>
        <xdr:cNvPr id="28" name="Рисунок 13" descr="EX-124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025213"/>
          <a:ext cx="1428750" cy="143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286805</xdr:rowOff>
    </xdr:from>
    <xdr:ext cx="1428750" cy="1425575"/>
    <xdr:pic>
      <xdr:nvPicPr>
        <xdr:cNvPr id="29" name="Рисунок 14" descr="EX-620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457138"/>
          <a:ext cx="1428750" cy="142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76200</xdr:colOff>
      <xdr:row>28</xdr:row>
      <xdr:rowOff>91008</xdr:rowOff>
    </xdr:from>
    <xdr:ext cx="1419225" cy="1431925"/>
    <xdr:pic>
      <xdr:nvPicPr>
        <xdr:cNvPr id="30" name="Рисунок 27" descr="C:\Users\Денис\Desktop\Картинки для сайта\Ohaus\EX\EX_bs.jpg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848841"/>
          <a:ext cx="1419225" cy="143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74081</xdr:colOff>
      <xdr:row>62</xdr:row>
      <xdr:rowOff>52915</xdr:rowOff>
    </xdr:from>
    <xdr:to>
      <xdr:col>0</xdr:col>
      <xdr:colOff>1502831</xdr:colOff>
      <xdr:row>64</xdr:row>
      <xdr:rowOff>465665</xdr:rowOff>
    </xdr:to>
    <xdr:pic>
      <xdr:nvPicPr>
        <xdr:cNvPr id="34" name="Рисунок 33" descr="C:\Users\Денис\Desktop\Картинки\Ohaus\PX\PX_ma_s.jpg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1959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68</xdr:row>
      <xdr:rowOff>84664</xdr:rowOff>
    </xdr:from>
    <xdr:to>
      <xdr:col>0</xdr:col>
      <xdr:colOff>1502831</xdr:colOff>
      <xdr:row>73</xdr:row>
      <xdr:rowOff>190498</xdr:rowOff>
    </xdr:to>
    <xdr:pic>
      <xdr:nvPicPr>
        <xdr:cNvPr id="36" name="Рисунок 35" descr="C:\Users\Денис\Desktop\Картинки\Ohaus\PX\PX_a_s.jpg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/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464733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82</xdr:row>
      <xdr:rowOff>21127</xdr:rowOff>
    </xdr:from>
    <xdr:to>
      <xdr:col>0</xdr:col>
      <xdr:colOff>1492248</xdr:colOff>
      <xdr:row>87</xdr:row>
      <xdr:rowOff>232794</xdr:rowOff>
    </xdr:to>
    <xdr:pic>
      <xdr:nvPicPr>
        <xdr:cNvPr id="41" name="Рисунок 40" descr="C:\Users\Денис\Desktop\Картинки\Ohaus\PX\PX_lab_s.jpg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/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909229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92</xdr:row>
      <xdr:rowOff>158619</xdr:rowOff>
    </xdr:from>
    <xdr:to>
      <xdr:col>0</xdr:col>
      <xdr:colOff>1492248</xdr:colOff>
      <xdr:row>98</xdr:row>
      <xdr:rowOff>126869</xdr:rowOff>
    </xdr:to>
    <xdr:pic>
      <xdr:nvPicPr>
        <xdr:cNvPr id="42" name="Рисунок 41" descr="C:\Users\Денис\Desktop\Картинки\Ohaus\PX\PX_lab2_s.jpg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/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166395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59530</xdr:colOff>
      <xdr:row>151</xdr:row>
      <xdr:rowOff>59529</xdr:rowOff>
    </xdr:from>
    <xdr:to>
      <xdr:col>0</xdr:col>
      <xdr:colOff>1488101</xdr:colOff>
      <xdr:row>155</xdr:row>
      <xdr:rowOff>249850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9530" y="53470967"/>
          <a:ext cx="1428571" cy="1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71436</xdr:colOff>
      <xdr:row>157</xdr:row>
      <xdr:rowOff>47616</xdr:rowOff>
    </xdr:from>
    <xdr:to>
      <xdr:col>0</xdr:col>
      <xdr:colOff>1500007</xdr:colOff>
      <xdr:row>161</xdr:row>
      <xdr:rowOff>237937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1436" y="55316429"/>
          <a:ext cx="1428571" cy="1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59530</xdr:colOff>
      <xdr:row>212</xdr:row>
      <xdr:rowOff>71436</xdr:rowOff>
    </xdr:from>
    <xdr:to>
      <xdr:col>0</xdr:col>
      <xdr:colOff>1488101</xdr:colOff>
      <xdr:row>216</xdr:row>
      <xdr:rowOff>261758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9530" y="73175811"/>
          <a:ext cx="1428571" cy="1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59530</xdr:colOff>
      <xdr:row>220</xdr:row>
      <xdr:rowOff>47624</xdr:rowOff>
    </xdr:from>
    <xdr:to>
      <xdr:col>0</xdr:col>
      <xdr:colOff>1488101</xdr:colOff>
      <xdr:row>223</xdr:row>
      <xdr:rowOff>333195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9530" y="75830905"/>
          <a:ext cx="1428571" cy="1428571"/>
        </a:xfrm>
        <a:prstGeom prst="rect">
          <a:avLst/>
        </a:prstGeom>
      </xdr:spPr>
    </xdr:pic>
    <xdr:clientData/>
  </xdr:twoCellAnchor>
  <xdr:twoCellAnchor>
    <xdr:from>
      <xdr:col>0</xdr:col>
      <xdr:colOff>59530</xdr:colOff>
      <xdr:row>36</xdr:row>
      <xdr:rowOff>59530</xdr:rowOff>
    </xdr:from>
    <xdr:to>
      <xdr:col>0</xdr:col>
      <xdr:colOff>1488280</xdr:colOff>
      <xdr:row>39</xdr:row>
      <xdr:rowOff>345280</xdr:rowOff>
    </xdr:to>
    <xdr:pic>
      <xdr:nvPicPr>
        <xdr:cNvPr id="40" name="Рисунок 39" descr="PR_anal_s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0" y="37885686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59530</xdr:colOff>
      <xdr:row>45</xdr:row>
      <xdr:rowOff>214299</xdr:rowOff>
    </xdr:from>
    <xdr:to>
      <xdr:col>0</xdr:col>
      <xdr:colOff>1488280</xdr:colOff>
      <xdr:row>50</xdr:row>
      <xdr:rowOff>76186</xdr:rowOff>
    </xdr:to>
    <xdr:pic>
      <xdr:nvPicPr>
        <xdr:cNvPr id="43" name="Рисунок 42" descr="PR_lab_s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0" y="41314674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71436</xdr:colOff>
      <xdr:row>51</xdr:row>
      <xdr:rowOff>226210</xdr:rowOff>
    </xdr:from>
    <xdr:to>
      <xdr:col>0</xdr:col>
      <xdr:colOff>1500186</xdr:colOff>
      <xdr:row>56</xdr:row>
      <xdr:rowOff>88097</xdr:rowOff>
    </xdr:to>
    <xdr:pic>
      <xdr:nvPicPr>
        <xdr:cNvPr id="44" name="Рисунок 43" descr="PR_labq_s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6" y="43183960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74081</xdr:colOff>
      <xdr:row>38</xdr:row>
      <xdr:rowOff>243418</xdr:rowOff>
    </xdr:from>
    <xdr:to>
      <xdr:col>0</xdr:col>
      <xdr:colOff>1502831</xdr:colOff>
      <xdr:row>43</xdr:row>
      <xdr:rowOff>84667</xdr:rowOff>
    </xdr:to>
    <xdr:pic>
      <xdr:nvPicPr>
        <xdr:cNvPr id="17" name="Рисунок 16" descr="D:\Картинки для сайта\Картинки\Госметр\VLA_s.jpg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887941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</xdr:row>
      <xdr:rowOff>52915</xdr:rowOff>
    </xdr:from>
    <xdr:to>
      <xdr:col>0</xdr:col>
      <xdr:colOff>1492248</xdr:colOff>
      <xdr:row>2</xdr:row>
      <xdr:rowOff>1481665</xdr:rowOff>
    </xdr:to>
    <xdr:pic>
      <xdr:nvPicPr>
        <xdr:cNvPr id="18" name="Рисунок 17" descr="D:\Картинки для сайта\Картинки\Госметр\AVG-60_sm.jpg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419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25</xdr:row>
      <xdr:rowOff>52915</xdr:rowOff>
    </xdr:from>
    <xdr:to>
      <xdr:col>0</xdr:col>
      <xdr:colOff>1492248</xdr:colOff>
      <xdr:row>26</xdr:row>
      <xdr:rowOff>719665</xdr:rowOff>
    </xdr:to>
    <xdr:pic>
      <xdr:nvPicPr>
        <xdr:cNvPr id="19" name="Рисунок 18" descr="D:\Картинки для сайта\Картинки\Госметр\VL-M_s.jpg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085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9</xdr:row>
      <xdr:rowOff>137586</xdr:rowOff>
    </xdr:from>
    <xdr:to>
      <xdr:col>0</xdr:col>
      <xdr:colOff>1492248</xdr:colOff>
      <xdr:row>13</xdr:row>
      <xdr:rowOff>211670</xdr:rowOff>
    </xdr:to>
    <xdr:pic>
      <xdr:nvPicPr>
        <xdr:cNvPr id="22" name="Рисунок 21" descr="D:\Картинки для сайта\Картинки\Госметр\VLA-M_s.jpg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16983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57</xdr:row>
      <xdr:rowOff>254002</xdr:rowOff>
    </xdr:from>
    <xdr:to>
      <xdr:col>0</xdr:col>
      <xdr:colOff>1492248</xdr:colOff>
      <xdr:row>61</xdr:row>
      <xdr:rowOff>158752</xdr:rowOff>
    </xdr:to>
    <xdr:pic>
      <xdr:nvPicPr>
        <xdr:cNvPr id="23" name="Рисунок 22" descr="D:\Картинки для сайта\Картинки\Госметр\VL_s.jp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940983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64</xdr:row>
      <xdr:rowOff>63494</xdr:rowOff>
    </xdr:from>
    <xdr:to>
      <xdr:col>0</xdr:col>
      <xdr:colOff>1492248</xdr:colOff>
      <xdr:row>67</xdr:row>
      <xdr:rowOff>349244</xdr:rowOff>
    </xdr:to>
    <xdr:pic>
      <xdr:nvPicPr>
        <xdr:cNvPr id="24" name="Рисунок 23" descr="D:\Картинки для сайта\Картинки\Госметр\VL-M_s.jpg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188632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83</xdr:row>
      <xdr:rowOff>7</xdr:rowOff>
    </xdr:from>
    <xdr:to>
      <xdr:col>0</xdr:col>
      <xdr:colOff>1502831</xdr:colOff>
      <xdr:row>86</xdr:row>
      <xdr:rowOff>285757</xdr:rowOff>
    </xdr:to>
    <xdr:pic>
      <xdr:nvPicPr>
        <xdr:cNvPr id="25" name="Рисунок 24" descr="D:\Картинки для сайта\Картинки\Госметр\VLTE_s(kr).jpg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2781300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63499</xdr:colOff>
      <xdr:row>87</xdr:row>
      <xdr:rowOff>78321</xdr:rowOff>
    </xdr:from>
    <xdr:to>
      <xdr:col>0</xdr:col>
      <xdr:colOff>1492249</xdr:colOff>
      <xdr:row>90</xdr:row>
      <xdr:rowOff>364071</xdr:rowOff>
    </xdr:to>
    <xdr:pic>
      <xdr:nvPicPr>
        <xdr:cNvPr id="26" name="Рисунок 25" descr="D:\Картинки для сайта\Картинки\Госметр\VLTE_s_510.jpg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3112982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71966</xdr:colOff>
      <xdr:row>91</xdr:row>
      <xdr:rowOff>93139</xdr:rowOff>
    </xdr:from>
    <xdr:to>
      <xdr:col>0</xdr:col>
      <xdr:colOff>1500716</xdr:colOff>
      <xdr:row>94</xdr:row>
      <xdr:rowOff>378889</xdr:rowOff>
    </xdr:to>
    <xdr:pic>
      <xdr:nvPicPr>
        <xdr:cNvPr id="27" name="Рисунок 26" descr="D:\Картинки для сайта\Картинки\Госметр\VLTE_s.jpg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" y="3133513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103</xdr:row>
      <xdr:rowOff>211676</xdr:rowOff>
    </xdr:from>
    <xdr:to>
      <xdr:col>0</xdr:col>
      <xdr:colOff>1502831</xdr:colOff>
      <xdr:row>107</xdr:row>
      <xdr:rowOff>116426</xdr:rowOff>
    </xdr:to>
    <xdr:pic>
      <xdr:nvPicPr>
        <xdr:cNvPr id="28" name="Рисунок 27" descr="D:\Картинки для сайта\Картинки\Госметр\VLTE_s(kr).jpg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3546475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84664</xdr:colOff>
      <xdr:row>124</xdr:row>
      <xdr:rowOff>52915</xdr:rowOff>
    </xdr:from>
    <xdr:to>
      <xdr:col>0</xdr:col>
      <xdr:colOff>1513414</xdr:colOff>
      <xdr:row>127</xdr:row>
      <xdr:rowOff>338665</xdr:rowOff>
    </xdr:to>
    <xdr:pic>
      <xdr:nvPicPr>
        <xdr:cNvPr id="29" name="Рисунок 28" descr="D:\Картинки для сайта\Картинки\Госметр\VLE_108-105_sm.jpg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396980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67736</xdr:colOff>
      <xdr:row>128</xdr:row>
      <xdr:rowOff>46567</xdr:rowOff>
    </xdr:from>
    <xdr:to>
      <xdr:col>0</xdr:col>
      <xdr:colOff>1496486</xdr:colOff>
      <xdr:row>131</xdr:row>
      <xdr:rowOff>332317</xdr:rowOff>
    </xdr:to>
    <xdr:pic>
      <xdr:nvPicPr>
        <xdr:cNvPr id="30" name="Рисунок 29" descr="D:\Картинки для сайта\Картинки\Госметр\VLE_822C_sm.jpg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6" y="4121573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71966</xdr:colOff>
      <xdr:row>132</xdr:row>
      <xdr:rowOff>29630</xdr:rowOff>
    </xdr:from>
    <xdr:to>
      <xdr:col>0</xdr:col>
      <xdr:colOff>1500716</xdr:colOff>
      <xdr:row>135</xdr:row>
      <xdr:rowOff>315380</xdr:rowOff>
    </xdr:to>
    <xdr:pic>
      <xdr:nvPicPr>
        <xdr:cNvPr id="31" name="Рисунок 30" descr="D:\Картинки для сайта\Картинки\Госметр\VLE_170-180_sm.jpg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" y="42722797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147</xdr:row>
      <xdr:rowOff>306920</xdr:rowOff>
    </xdr:from>
    <xdr:to>
      <xdr:col>0</xdr:col>
      <xdr:colOff>1502831</xdr:colOff>
      <xdr:row>152</xdr:row>
      <xdr:rowOff>148170</xdr:rowOff>
    </xdr:to>
    <xdr:pic>
      <xdr:nvPicPr>
        <xdr:cNvPr id="32" name="Рисунок 31" descr="D:\Картинки для сайта\Картинки\Госметр\VLTE_s_510.jpg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7360420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158</xdr:row>
      <xdr:rowOff>14816</xdr:rowOff>
    </xdr:from>
    <xdr:to>
      <xdr:col>0</xdr:col>
      <xdr:colOff>1502831</xdr:colOff>
      <xdr:row>162</xdr:row>
      <xdr:rowOff>173567</xdr:rowOff>
    </xdr:to>
    <xdr:pic>
      <xdr:nvPicPr>
        <xdr:cNvPr id="33" name="Рисунок 32" descr="D:\Картинки для сайта\Картинки\Госметр\VLTE_s.jpg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897331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186</xdr:row>
      <xdr:rowOff>52915</xdr:rowOff>
    </xdr:from>
    <xdr:to>
      <xdr:col>0</xdr:col>
      <xdr:colOff>1492248</xdr:colOff>
      <xdr:row>189</xdr:row>
      <xdr:rowOff>338665</xdr:rowOff>
    </xdr:to>
    <xdr:pic>
      <xdr:nvPicPr>
        <xdr:cNvPr id="34" name="Рисунок 33" descr="D:\Картинки для сайта\Картинки\Госметр\VP_s.jpg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6790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198</xdr:row>
      <xdr:rowOff>52915</xdr:rowOff>
    </xdr:from>
    <xdr:to>
      <xdr:col>0</xdr:col>
      <xdr:colOff>1502831</xdr:colOff>
      <xdr:row>200</xdr:row>
      <xdr:rowOff>465665</xdr:rowOff>
    </xdr:to>
    <xdr:pic>
      <xdr:nvPicPr>
        <xdr:cNvPr id="35" name="Рисунок 34" descr="D:\Картинки для сайта\Картинки\Госметр\VP_s.jpg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60176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171</xdr:row>
      <xdr:rowOff>74087</xdr:rowOff>
    </xdr:from>
    <xdr:to>
      <xdr:col>0</xdr:col>
      <xdr:colOff>1492248</xdr:colOff>
      <xdr:row>175</xdr:row>
      <xdr:rowOff>232838</xdr:rowOff>
    </xdr:to>
    <xdr:pic>
      <xdr:nvPicPr>
        <xdr:cNvPr id="36" name="Рисунок 35" descr="D:\Картинки для сайта\Картинки\Госметр\VP_s.jpg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3043670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107</xdr:row>
      <xdr:rowOff>211665</xdr:rowOff>
    </xdr:from>
    <xdr:to>
      <xdr:col>0</xdr:col>
      <xdr:colOff>1492248</xdr:colOff>
      <xdr:row>111</xdr:row>
      <xdr:rowOff>116415</xdr:rowOff>
    </xdr:to>
    <xdr:pic>
      <xdr:nvPicPr>
        <xdr:cNvPr id="20" name="Рисунок 19" descr="D:\Картинки для сайта\Картинки\Госметр\VLTE_s_510.jpg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69887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63499</xdr:colOff>
      <xdr:row>111</xdr:row>
      <xdr:rowOff>275163</xdr:rowOff>
    </xdr:from>
    <xdr:to>
      <xdr:col>0</xdr:col>
      <xdr:colOff>1492249</xdr:colOff>
      <xdr:row>115</xdr:row>
      <xdr:rowOff>179913</xdr:rowOff>
    </xdr:to>
    <xdr:pic>
      <xdr:nvPicPr>
        <xdr:cNvPr id="21" name="Рисунок 20" descr="D:\Картинки для сайта\Картинки\Госметр\VLTE_s.jpg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3857624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57150</xdr:rowOff>
    </xdr:from>
    <xdr:to>
      <xdr:col>0</xdr:col>
      <xdr:colOff>1495425</xdr:colOff>
      <xdr:row>5</xdr:row>
      <xdr:rowOff>342900</xdr:rowOff>
    </xdr:to>
    <xdr:pic>
      <xdr:nvPicPr>
        <xdr:cNvPr id="2" name="Рисунок 5" descr="MS-7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2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58</xdr:row>
      <xdr:rowOff>28575</xdr:rowOff>
    </xdr:from>
    <xdr:to>
      <xdr:col>0</xdr:col>
      <xdr:colOff>1495425</xdr:colOff>
      <xdr:row>61</xdr:row>
      <xdr:rowOff>314325</xdr:rowOff>
    </xdr:to>
    <xdr:pic>
      <xdr:nvPicPr>
        <xdr:cNvPr id="3" name="Рисунок 26" descr="DL-12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50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62</xdr:row>
      <xdr:rowOff>38100</xdr:rowOff>
    </xdr:from>
    <xdr:to>
      <xdr:col>0</xdr:col>
      <xdr:colOff>1495425</xdr:colOff>
      <xdr:row>65</xdr:row>
      <xdr:rowOff>323850</xdr:rowOff>
    </xdr:to>
    <xdr:pic>
      <xdr:nvPicPr>
        <xdr:cNvPr id="4" name="Рисунок 27" descr="DL-1200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843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69</xdr:row>
      <xdr:rowOff>114300</xdr:rowOff>
    </xdr:from>
    <xdr:to>
      <xdr:col>0</xdr:col>
      <xdr:colOff>1495425</xdr:colOff>
      <xdr:row>72</xdr:row>
      <xdr:rowOff>28575</xdr:rowOff>
    </xdr:to>
    <xdr:pic>
      <xdr:nvPicPr>
        <xdr:cNvPr id="5" name="Рисунок 30" descr="C:\Users\Denis\Desktop\Картинки для сайта\AND\DL(130)WPs.jp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9180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72</xdr:row>
      <xdr:rowOff>0</xdr:rowOff>
    </xdr:from>
    <xdr:to>
      <xdr:col>0</xdr:col>
      <xdr:colOff>1495425</xdr:colOff>
      <xdr:row>74</xdr:row>
      <xdr:rowOff>428625</xdr:rowOff>
    </xdr:to>
    <xdr:pic>
      <xdr:nvPicPr>
        <xdr:cNvPr id="6" name="Рисунок 31" descr="C:\Users\Denis\Desktop\Картинки для сайта\AND\DL(150)WPs.jp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82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103709</xdr:rowOff>
    </xdr:from>
    <xdr:to>
      <xdr:col>0</xdr:col>
      <xdr:colOff>1495425</xdr:colOff>
      <xdr:row>84</xdr:row>
      <xdr:rowOff>151334</xdr:rowOff>
    </xdr:to>
    <xdr:pic>
      <xdr:nvPicPr>
        <xdr:cNvPr id="7" name="Рисунок 34" descr="DX-3000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346084"/>
          <a:ext cx="1428750" cy="1428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89</xdr:row>
      <xdr:rowOff>114300</xdr:rowOff>
    </xdr:from>
    <xdr:to>
      <xdr:col>0</xdr:col>
      <xdr:colOff>1495425</xdr:colOff>
      <xdr:row>94</xdr:row>
      <xdr:rowOff>161924</xdr:rowOff>
    </xdr:to>
    <xdr:pic>
      <xdr:nvPicPr>
        <xdr:cNvPr id="8" name="Рисунок 36" descr="C:\Users\Denis\Desktop\Картинки для сайта\AND\DX(130)WPs.jp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423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132</xdr:row>
      <xdr:rowOff>47625</xdr:rowOff>
    </xdr:from>
    <xdr:to>
      <xdr:col>0</xdr:col>
      <xdr:colOff>1495425</xdr:colOff>
      <xdr:row>136</xdr:row>
      <xdr:rowOff>209550</xdr:rowOff>
    </xdr:to>
    <xdr:pic>
      <xdr:nvPicPr>
        <xdr:cNvPr id="9" name="Рисунок 39" descr="GX-200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1478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137</xdr:row>
      <xdr:rowOff>114300</xdr:rowOff>
    </xdr:from>
    <xdr:to>
      <xdr:col>0</xdr:col>
      <xdr:colOff>1504950</xdr:colOff>
      <xdr:row>141</xdr:row>
      <xdr:rowOff>276225</xdr:rowOff>
    </xdr:to>
    <xdr:pic>
      <xdr:nvPicPr>
        <xdr:cNvPr id="10" name="Рисунок 40" descr="GX-6000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17861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145</xdr:row>
      <xdr:rowOff>76200</xdr:rowOff>
    </xdr:from>
    <xdr:to>
      <xdr:col>0</xdr:col>
      <xdr:colOff>1495425</xdr:colOff>
      <xdr:row>151</xdr:row>
      <xdr:rowOff>9525</xdr:rowOff>
    </xdr:to>
    <xdr:pic>
      <xdr:nvPicPr>
        <xdr:cNvPr id="11" name="Рисунок 43" descr="GF-20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4531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151</xdr:row>
      <xdr:rowOff>228600</xdr:rowOff>
    </xdr:from>
    <xdr:to>
      <xdr:col>0</xdr:col>
      <xdr:colOff>1495425</xdr:colOff>
      <xdr:row>157</xdr:row>
      <xdr:rowOff>171450</xdr:rowOff>
    </xdr:to>
    <xdr:pic>
      <xdr:nvPicPr>
        <xdr:cNvPr id="12" name="Рисунок 44" descr="GF-2000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0914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212</xdr:row>
      <xdr:rowOff>133350</xdr:rowOff>
    </xdr:from>
    <xdr:to>
      <xdr:col>0</xdr:col>
      <xdr:colOff>1495425</xdr:colOff>
      <xdr:row>218</xdr:row>
      <xdr:rowOff>76201</xdr:rowOff>
    </xdr:to>
    <xdr:pic>
      <xdr:nvPicPr>
        <xdr:cNvPr id="13" name="Рисунок 27" descr="NP-1000S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9221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222</xdr:row>
      <xdr:rowOff>19050</xdr:rowOff>
    </xdr:from>
    <xdr:to>
      <xdr:col>0</xdr:col>
      <xdr:colOff>1495425</xdr:colOff>
      <xdr:row>227</xdr:row>
      <xdr:rowOff>209550</xdr:rowOff>
    </xdr:to>
    <xdr:pic>
      <xdr:nvPicPr>
        <xdr:cNvPr id="14" name="Рисунок 29" descr="SK-1000WP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59320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231</xdr:row>
      <xdr:rowOff>57150</xdr:rowOff>
    </xdr:from>
    <xdr:to>
      <xdr:col>0</xdr:col>
      <xdr:colOff>1495425</xdr:colOff>
      <xdr:row>231</xdr:row>
      <xdr:rowOff>1485900</xdr:rowOff>
    </xdr:to>
    <xdr:pic>
      <xdr:nvPicPr>
        <xdr:cNvPr id="16" name="Рисунок 33" descr="HJ-150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504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235</xdr:row>
      <xdr:rowOff>57150</xdr:rowOff>
    </xdr:from>
    <xdr:to>
      <xdr:col>0</xdr:col>
      <xdr:colOff>1495425</xdr:colOff>
      <xdr:row>238</xdr:row>
      <xdr:rowOff>342900</xdr:rowOff>
    </xdr:to>
    <xdr:pic>
      <xdr:nvPicPr>
        <xdr:cNvPr id="17" name="Рисунок 35" descr="HL-3000WP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18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242</xdr:row>
      <xdr:rowOff>219075</xdr:rowOff>
    </xdr:from>
    <xdr:to>
      <xdr:col>0</xdr:col>
      <xdr:colOff>1495425</xdr:colOff>
      <xdr:row>246</xdr:row>
      <xdr:rowOff>123825</xdr:rowOff>
    </xdr:to>
    <xdr:pic>
      <xdr:nvPicPr>
        <xdr:cNvPr id="18" name="Рисунок 37" descr="HT-500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495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251</xdr:row>
      <xdr:rowOff>85725</xdr:rowOff>
    </xdr:from>
    <xdr:to>
      <xdr:col>0</xdr:col>
      <xdr:colOff>1495425</xdr:colOff>
      <xdr:row>257</xdr:row>
      <xdr:rowOff>28576</xdr:rowOff>
    </xdr:to>
    <xdr:pic>
      <xdr:nvPicPr>
        <xdr:cNvPr id="19" name="Рисунок 39" descr="FC-1000i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0648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262</xdr:row>
      <xdr:rowOff>57150</xdr:rowOff>
    </xdr:from>
    <xdr:to>
      <xdr:col>0</xdr:col>
      <xdr:colOff>1504950</xdr:colOff>
      <xdr:row>264</xdr:row>
      <xdr:rowOff>476249</xdr:rowOff>
    </xdr:to>
    <xdr:pic>
      <xdr:nvPicPr>
        <xdr:cNvPr id="20" name="Рисунок 41" descr="FS-15Ki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3734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268</xdr:row>
      <xdr:rowOff>66675</xdr:rowOff>
    </xdr:from>
    <xdr:to>
      <xdr:col>0</xdr:col>
      <xdr:colOff>1495425</xdr:colOff>
      <xdr:row>271</xdr:row>
      <xdr:rowOff>352425</xdr:rowOff>
    </xdr:to>
    <xdr:pic>
      <xdr:nvPicPr>
        <xdr:cNvPr id="21" name="Рисунок 43" descr="FG-150KAL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6391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272</xdr:row>
      <xdr:rowOff>66675</xdr:rowOff>
    </xdr:from>
    <xdr:to>
      <xdr:col>0</xdr:col>
      <xdr:colOff>1504950</xdr:colOff>
      <xdr:row>275</xdr:row>
      <xdr:rowOff>352425</xdr:rowOff>
    </xdr:to>
    <xdr:pic>
      <xdr:nvPicPr>
        <xdr:cNvPr id="22" name="Рисунок 44" descr="FG-150KBM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7915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279</xdr:row>
      <xdr:rowOff>133350</xdr:rowOff>
    </xdr:from>
    <xdr:to>
      <xdr:col>0</xdr:col>
      <xdr:colOff>1495425</xdr:colOff>
      <xdr:row>285</xdr:row>
      <xdr:rowOff>76200</xdr:rowOff>
    </xdr:to>
    <xdr:pic>
      <xdr:nvPicPr>
        <xdr:cNvPr id="23" name="Рисунок 47" descr="HV-60KVWP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6399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289</xdr:row>
      <xdr:rowOff>19050</xdr:rowOff>
    </xdr:from>
    <xdr:to>
      <xdr:col>0</xdr:col>
      <xdr:colOff>1495425</xdr:colOff>
      <xdr:row>294</xdr:row>
      <xdr:rowOff>209551</xdr:rowOff>
    </xdr:to>
    <xdr:pic>
      <xdr:nvPicPr>
        <xdr:cNvPr id="24" name="Рисунок 49" descr="HV-15KGL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3649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298</xdr:row>
      <xdr:rowOff>28575</xdr:rowOff>
    </xdr:from>
    <xdr:to>
      <xdr:col>0</xdr:col>
      <xdr:colOff>1495425</xdr:colOff>
      <xdr:row>303</xdr:row>
      <xdr:rowOff>209550</xdr:rowOff>
    </xdr:to>
    <xdr:pic>
      <xdr:nvPicPr>
        <xdr:cNvPr id="25" name="Рисунок 51" descr="HV-15KGL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5358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307</xdr:row>
      <xdr:rowOff>85725</xdr:rowOff>
    </xdr:from>
    <xdr:to>
      <xdr:col>0</xdr:col>
      <xdr:colOff>1495425</xdr:colOff>
      <xdr:row>311</xdr:row>
      <xdr:rowOff>257174</xdr:rowOff>
    </xdr:to>
    <xdr:pic>
      <xdr:nvPicPr>
        <xdr:cNvPr id="27" name="Рисунок 55" descr="C:\Users\Denis\Desktop\Картинки для сайта\AND\EM.jpg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1175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50</xdr:row>
      <xdr:rowOff>141814</xdr:rowOff>
    </xdr:from>
    <xdr:to>
      <xdr:col>0</xdr:col>
      <xdr:colOff>1495425</xdr:colOff>
      <xdr:row>54</xdr:row>
      <xdr:rowOff>215897</xdr:rowOff>
    </xdr:to>
    <xdr:pic>
      <xdr:nvPicPr>
        <xdr:cNvPr id="28" name="Рисунок 39" descr="C:\Users\Denis\Desktop\Картинки для сайта\AND\MCs.jpg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715814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64994</xdr:colOff>
      <xdr:row>200</xdr:row>
      <xdr:rowOff>292476</xdr:rowOff>
    </xdr:from>
    <xdr:to>
      <xdr:col>0</xdr:col>
      <xdr:colOff>1493744</xdr:colOff>
      <xdr:row>204</xdr:row>
      <xdr:rowOff>344022</xdr:rowOff>
    </xdr:to>
    <xdr:pic>
      <xdr:nvPicPr>
        <xdr:cNvPr id="29" name="Рисунок 40" descr="C:\Users\Denis\Desktop\Картинки для сайта\AND\EJ\EJ-(110)s.jpg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4" y="65521917"/>
          <a:ext cx="1428750" cy="1441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204</xdr:row>
      <xdr:rowOff>224115</xdr:rowOff>
    </xdr:from>
    <xdr:to>
      <xdr:col>0</xdr:col>
      <xdr:colOff>1495425</xdr:colOff>
      <xdr:row>208</xdr:row>
      <xdr:rowOff>285187</xdr:rowOff>
    </xdr:to>
    <xdr:pic>
      <xdr:nvPicPr>
        <xdr:cNvPr id="30" name="Рисунок 41" descr="C:\Users\Denis\Desktop\Картинки для сайта\AND\EJ\EJ-(k)s.jpg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843086"/>
          <a:ext cx="1428750" cy="145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</xdr:row>
      <xdr:rowOff>85725</xdr:rowOff>
    </xdr:from>
    <xdr:to>
      <xdr:col>0</xdr:col>
      <xdr:colOff>1495425</xdr:colOff>
      <xdr:row>13</xdr:row>
      <xdr:rowOff>266700</xdr:rowOff>
    </xdr:to>
    <xdr:pic>
      <xdr:nvPicPr>
        <xdr:cNvPr id="31" name="Рисунок 7" descr="SV-1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2902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</xdr:row>
      <xdr:rowOff>262459</xdr:rowOff>
    </xdr:from>
    <xdr:to>
      <xdr:col>0</xdr:col>
      <xdr:colOff>1495425</xdr:colOff>
      <xdr:row>22</xdr:row>
      <xdr:rowOff>63491</xdr:rowOff>
    </xdr:to>
    <xdr:pic>
      <xdr:nvPicPr>
        <xdr:cNvPr id="33" name="Рисунок 9" descr="BM-2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73084"/>
          <a:ext cx="1428750" cy="1372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</xdr:row>
      <xdr:rowOff>57150</xdr:rowOff>
    </xdr:from>
    <xdr:to>
      <xdr:col>0</xdr:col>
      <xdr:colOff>1495425</xdr:colOff>
      <xdr:row>29</xdr:row>
      <xdr:rowOff>342900</xdr:rowOff>
    </xdr:to>
    <xdr:pic>
      <xdr:nvPicPr>
        <xdr:cNvPr id="34" name="Рисунок 12" descr="GR-202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8872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33</xdr:row>
      <xdr:rowOff>85725</xdr:rowOff>
    </xdr:from>
    <xdr:to>
      <xdr:col>0</xdr:col>
      <xdr:colOff>1495425</xdr:colOff>
      <xdr:row>37</xdr:row>
      <xdr:rowOff>266700</xdr:rowOff>
    </xdr:to>
    <xdr:pic>
      <xdr:nvPicPr>
        <xdr:cNvPr id="35" name="Рисунок 14" descr="GH-202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57325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41</xdr:row>
      <xdr:rowOff>43140</xdr:rowOff>
    </xdr:from>
    <xdr:to>
      <xdr:col>0</xdr:col>
      <xdr:colOff>1495425</xdr:colOff>
      <xdr:row>46</xdr:row>
      <xdr:rowOff>214591</xdr:rowOff>
    </xdr:to>
    <xdr:pic>
      <xdr:nvPicPr>
        <xdr:cNvPr id="37" name="Рисунок 24" descr="HR-100A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913346"/>
          <a:ext cx="1428750" cy="140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161</xdr:row>
      <xdr:rowOff>76200</xdr:rowOff>
    </xdr:from>
    <xdr:to>
      <xdr:col>0</xdr:col>
      <xdr:colOff>1495425</xdr:colOff>
      <xdr:row>166</xdr:row>
      <xdr:rowOff>228600</xdr:rowOff>
    </xdr:to>
    <xdr:pic>
      <xdr:nvPicPr>
        <xdr:cNvPr id="38" name="Рисунок 20" descr="GP-60KS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806100"/>
          <a:ext cx="14287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168</xdr:row>
      <xdr:rowOff>200025</xdr:rowOff>
    </xdr:from>
    <xdr:to>
      <xdr:col>0</xdr:col>
      <xdr:colOff>1504950</xdr:colOff>
      <xdr:row>174</xdr:row>
      <xdr:rowOff>114300</xdr:rowOff>
    </xdr:to>
    <xdr:pic>
      <xdr:nvPicPr>
        <xdr:cNvPr id="39" name="Рисунок 21" descr="GP-60K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663475"/>
          <a:ext cx="14287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179</xdr:row>
      <xdr:rowOff>9525</xdr:rowOff>
    </xdr:from>
    <xdr:to>
      <xdr:col>0</xdr:col>
      <xdr:colOff>1495425</xdr:colOff>
      <xdr:row>184</xdr:row>
      <xdr:rowOff>180976</xdr:rowOff>
    </xdr:to>
    <xdr:pic>
      <xdr:nvPicPr>
        <xdr:cNvPr id="40" name="Рисунок 24" descr="EK-120i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3587650"/>
          <a:ext cx="1428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187</xdr:row>
      <xdr:rowOff>76200</xdr:rowOff>
    </xdr:from>
    <xdr:to>
      <xdr:col>0</xdr:col>
      <xdr:colOff>1495425</xdr:colOff>
      <xdr:row>192</xdr:row>
      <xdr:rowOff>228600</xdr:rowOff>
    </xdr:to>
    <xdr:pic>
      <xdr:nvPicPr>
        <xdr:cNvPr id="41" name="Рисунок 25" descr="EK-600i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635525"/>
          <a:ext cx="14287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63501</xdr:colOff>
      <xdr:row>99</xdr:row>
      <xdr:rowOff>63499</xdr:rowOff>
    </xdr:from>
    <xdr:to>
      <xdr:col>0</xdr:col>
      <xdr:colOff>1492251</xdr:colOff>
      <xdr:row>103</xdr:row>
      <xdr:rowOff>222249</xdr:rowOff>
    </xdr:to>
    <xdr:pic>
      <xdr:nvPicPr>
        <xdr:cNvPr id="44" name="Рисунок 43" descr="D:\Картинки для сайта\Картинки\A&amp;D\GX-A_128-128_s.jpg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/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825874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63499</xdr:colOff>
      <xdr:row>105</xdr:row>
      <xdr:rowOff>74084</xdr:rowOff>
    </xdr:from>
    <xdr:to>
      <xdr:col>0</xdr:col>
      <xdr:colOff>1492249</xdr:colOff>
      <xdr:row>109</xdr:row>
      <xdr:rowOff>232835</xdr:rowOff>
    </xdr:to>
    <xdr:pic>
      <xdr:nvPicPr>
        <xdr:cNvPr id="45" name="Рисунок 44" descr="D:\Картинки для сайта\Картинки\A&amp;D\GX-A_165-165_s.jpg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/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40174334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63500</xdr:colOff>
      <xdr:row>115</xdr:row>
      <xdr:rowOff>74089</xdr:rowOff>
    </xdr:from>
    <xdr:to>
      <xdr:col>0</xdr:col>
      <xdr:colOff>1492250</xdr:colOff>
      <xdr:row>119</xdr:row>
      <xdr:rowOff>232839</xdr:rowOff>
    </xdr:to>
    <xdr:pic>
      <xdr:nvPicPr>
        <xdr:cNvPr id="48" name="Рисунок 47" descr="D:\Картинки для сайта\Картинки\A&amp;D\GF-A_128-128_s.jpg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352925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63499</xdr:colOff>
      <xdr:row>123</xdr:row>
      <xdr:rowOff>52922</xdr:rowOff>
    </xdr:from>
    <xdr:to>
      <xdr:col>0</xdr:col>
      <xdr:colOff>1492249</xdr:colOff>
      <xdr:row>127</xdr:row>
      <xdr:rowOff>211672</xdr:rowOff>
    </xdr:to>
    <xdr:pic>
      <xdr:nvPicPr>
        <xdr:cNvPr id="49" name="Рисунок 48" descr="D:\Картинки для сайта\Картинки\A&amp;D\GF-A_165-165_s.jpg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4604808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582079</xdr:colOff>
      <xdr:row>96</xdr:row>
      <xdr:rowOff>10849</xdr:rowOff>
    </xdr:from>
    <xdr:to>
      <xdr:col>9</xdr:col>
      <xdr:colOff>1047745</xdr:colOff>
      <xdr:row>97</xdr:row>
      <xdr:rowOff>685</xdr:rowOff>
    </xdr:to>
    <xdr:pic>
      <xdr:nvPicPr>
        <xdr:cNvPr id="46" name="Рисунок 45" descr="729f3e74ec2cd1b0f999a205616b1eda.png (200Ã65)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3412" y="36999599"/>
          <a:ext cx="1513416" cy="4918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582082</xdr:colOff>
      <xdr:row>112</xdr:row>
      <xdr:rowOff>10583</xdr:rowOff>
    </xdr:from>
    <xdr:to>
      <xdr:col>9</xdr:col>
      <xdr:colOff>1047749</xdr:colOff>
      <xdr:row>113</xdr:row>
      <xdr:rowOff>0</xdr:rowOff>
    </xdr:to>
    <xdr:pic>
      <xdr:nvPicPr>
        <xdr:cNvPr id="47" name="Рисунок 46" descr="729f3e74ec2cd1b0f999a205616b1eda.png (200Ã65)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3415" y="42259250"/>
          <a:ext cx="1513417" cy="4974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67236</xdr:colOff>
      <xdr:row>197</xdr:row>
      <xdr:rowOff>33618</xdr:rowOff>
    </xdr:from>
    <xdr:to>
      <xdr:col>0</xdr:col>
      <xdr:colOff>1495986</xdr:colOff>
      <xdr:row>201</xdr:row>
      <xdr:rowOff>72838</xdr:rowOff>
    </xdr:to>
    <xdr:pic>
      <xdr:nvPicPr>
        <xdr:cNvPr id="50" name="Рисунок 49" descr="D:\Картинки для сайта\Картинки\A&amp;D\EJ_1mgs.jpg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/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6422091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112060</xdr:colOff>
      <xdr:row>315</xdr:row>
      <xdr:rowOff>224120</xdr:rowOff>
    </xdr:from>
    <xdr:to>
      <xdr:col>0</xdr:col>
      <xdr:colOff>1540810</xdr:colOff>
      <xdr:row>319</xdr:row>
      <xdr:rowOff>128870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2140685C-FEF8-4195-847D-56047E6AE2DD}"/>
            </a:ext>
          </a:extLst>
        </xdr:cNvPr>
        <xdr:cNvPicPr/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0" y="10692092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2</xdr:row>
      <xdr:rowOff>42332</xdr:rowOff>
    </xdr:from>
    <xdr:to>
      <xdr:col>0</xdr:col>
      <xdr:colOff>1492248</xdr:colOff>
      <xdr:row>6</xdr:row>
      <xdr:rowOff>186141</xdr:rowOff>
    </xdr:to>
    <xdr:pic>
      <xdr:nvPicPr>
        <xdr:cNvPr id="40" name="Рисунок 39" descr="C:\Users\Денис\Desktop\Картинки\МАССА-К\BK_120_s.jpg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313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</xdr:row>
      <xdr:rowOff>126956</xdr:rowOff>
    </xdr:from>
    <xdr:to>
      <xdr:col>0</xdr:col>
      <xdr:colOff>1492248</xdr:colOff>
      <xdr:row>10</xdr:row>
      <xdr:rowOff>270764</xdr:rowOff>
    </xdr:to>
    <xdr:pic>
      <xdr:nvPicPr>
        <xdr:cNvPr id="41" name="Рисунок 40" descr="C:\Users\Денис\Desktop\Картинки\МАССА-К\BK_136-162_s.jpg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28595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20</xdr:row>
      <xdr:rowOff>21120</xdr:rowOff>
    </xdr:from>
    <xdr:to>
      <xdr:col>0</xdr:col>
      <xdr:colOff>1492248</xdr:colOff>
      <xdr:row>26</xdr:row>
      <xdr:rowOff>4933</xdr:rowOff>
    </xdr:to>
    <xdr:pic>
      <xdr:nvPicPr>
        <xdr:cNvPr id="42" name="Рисунок 41" descr="C:\Users\Денис\Desktop\Картинки\МАССА-К\MK_A20_s.jpg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8286703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30</xdr:row>
      <xdr:rowOff>21043</xdr:rowOff>
    </xdr:from>
    <xdr:to>
      <xdr:col>0</xdr:col>
      <xdr:colOff>1492248</xdr:colOff>
      <xdr:row>36</xdr:row>
      <xdr:rowOff>4857</xdr:rowOff>
    </xdr:to>
    <xdr:pic>
      <xdr:nvPicPr>
        <xdr:cNvPr id="43" name="Рисунок 42" descr="C:\Users\Денис\Desktop\Картинки\МАССА-К\MK_A11_s.jpg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0720793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51</xdr:row>
      <xdr:rowOff>52915</xdr:rowOff>
    </xdr:from>
    <xdr:to>
      <xdr:col>0</xdr:col>
      <xdr:colOff>1492248</xdr:colOff>
      <xdr:row>54</xdr:row>
      <xdr:rowOff>338665</xdr:rowOff>
    </xdr:to>
    <xdr:pic>
      <xdr:nvPicPr>
        <xdr:cNvPr id="44" name="Рисунок 43" descr="C:\Users\Денис\Desktop\Картинки\МАССА-К\MK_C21_s.jpg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61395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60</xdr:row>
      <xdr:rowOff>52915</xdr:rowOff>
    </xdr:from>
    <xdr:to>
      <xdr:col>0</xdr:col>
      <xdr:colOff>1492248</xdr:colOff>
      <xdr:row>63</xdr:row>
      <xdr:rowOff>338665</xdr:rowOff>
    </xdr:to>
    <xdr:pic>
      <xdr:nvPicPr>
        <xdr:cNvPr id="45" name="Рисунок 44" descr="C:\Users\Денис\Desktop\Картинки\МАССА-К\MK_AB11_s.jpg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9409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67</xdr:row>
      <xdr:rowOff>52915</xdr:rowOff>
    </xdr:from>
    <xdr:to>
      <xdr:col>0</xdr:col>
      <xdr:colOff>1502831</xdr:colOff>
      <xdr:row>70</xdr:row>
      <xdr:rowOff>338665</xdr:rowOff>
    </xdr:to>
    <xdr:pic>
      <xdr:nvPicPr>
        <xdr:cNvPr id="46" name="Рисунок 45" descr="C:\Users\Денис\Desktop\Картинки\МАССА-К\MK_AB20_s.jpg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220662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74</xdr:row>
      <xdr:rowOff>52915</xdr:rowOff>
    </xdr:from>
    <xdr:to>
      <xdr:col>0</xdr:col>
      <xdr:colOff>1492248</xdr:colOff>
      <xdr:row>76</xdr:row>
      <xdr:rowOff>458195</xdr:rowOff>
    </xdr:to>
    <xdr:pic>
      <xdr:nvPicPr>
        <xdr:cNvPr id="47" name="Рисунок 46" descr="C:\Users\Денис\Desktop\Картинки\МАССА-К\MK_T21_s.jpg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4595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80</xdr:row>
      <xdr:rowOff>52915</xdr:rowOff>
    </xdr:from>
    <xdr:to>
      <xdr:col>0</xdr:col>
      <xdr:colOff>1492248</xdr:colOff>
      <xdr:row>82</xdr:row>
      <xdr:rowOff>458195</xdr:rowOff>
    </xdr:to>
    <xdr:pic>
      <xdr:nvPicPr>
        <xdr:cNvPr id="48" name="Рисунок 47" descr="C:\Users\Денис\Desktop\Картинки\МАССА-К\MK_TH11_s.jpg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273790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86</xdr:row>
      <xdr:rowOff>42332</xdr:rowOff>
    </xdr:from>
    <xdr:to>
      <xdr:col>0</xdr:col>
      <xdr:colOff>1492248</xdr:colOff>
      <xdr:row>88</xdr:row>
      <xdr:rowOff>447611</xdr:rowOff>
    </xdr:to>
    <xdr:pic>
      <xdr:nvPicPr>
        <xdr:cNvPr id="49" name="Рисунок 48" descr="C:\Users\Денис\Desktop\Картинки\МАССА-К\MK_TB21_s.jpg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06599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92</xdr:row>
      <xdr:rowOff>253992</xdr:rowOff>
    </xdr:from>
    <xdr:to>
      <xdr:col>0</xdr:col>
      <xdr:colOff>1502831</xdr:colOff>
      <xdr:row>97</xdr:row>
      <xdr:rowOff>76565</xdr:rowOff>
    </xdr:to>
    <xdr:pic>
      <xdr:nvPicPr>
        <xdr:cNvPr id="50" name="Рисунок 49" descr="C:\Users\Денис\Desktop\Картинки\МАССА-К\MK_TH21_s.jpg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3472390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101</xdr:row>
      <xdr:rowOff>52915</xdr:rowOff>
    </xdr:from>
    <xdr:to>
      <xdr:col>0</xdr:col>
      <xdr:colOff>1492248</xdr:colOff>
      <xdr:row>103</xdr:row>
      <xdr:rowOff>458194</xdr:rowOff>
    </xdr:to>
    <xdr:pic>
      <xdr:nvPicPr>
        <xdr:cNvPr id="51" name="Рисунок 50" descr="C:\Users\Денис\Desktop\Картинки\МАССА-К\MK_RA11_s.jpg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74332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107</xdr:row>
      <xdr:rowOff>52915</xdr:rowOff>
    </xdr:from>
    <xdr:to>
      <xdr:col>0</xdr:col>
      <xdr:colOff>1492248</xdr:colOff>
      <xdr:row>109</xdr:row>
      <xdr:rowOff>458194</xdr:rowOff>
    </xdr:to>
    <xdr:pic>
      <xdr:nvPicPr>
        <xdr:cNvPr id="53" name="Рисунок 52" descr="C:\Users\Денис\Desktop\Картинки\МАССА-К\MK_RP10_s.jpg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PicPr/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27460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113</xdr:row>
      <xdr:rowOff>52915</xdr:rowOff>
    </xdr:from>
    <xdr:to>
      <xdr:col>0</xdr:col>
      <xdr:colOff>1502831</xdr:colOff>
      <xdr:row>115</xdr:row>
      <xdr:rowOff>458194</xdr:rowOff>
    </xdr:to>
    <xdr:pic>
      <xdr:nvPicPr>
        <xdr:cNvPr id="54" name="Рисунок 53" descr="C:\Users\Денис\Desktop\Картинки\МАССА-К\MK_RP10-1_s.jpg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540249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119</xdr:row>
      <xdr:rowOff>52915</xdr:rowOff>
    </xdr:from>
    <xdr:to>
      <xdr:col>0</xdr:col>
      <xdr:colOff>1502831</xdr:colOff>
      <xdr:row>121</xdr:row>
      <xdr:rowOff>458195</xdr:rowOff>
    </xdr:to>
    <xdr:pic>
      <xdr:nvPicPr>
        <xdr:cNvPr id="55" name="Рисунок 54" descr="C:\Users\Денис\Desktop\Картинки\МАССА-К\MK_RP10-1_s.jpg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4793191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125</xdr:row>
      <xdr:rowOff>52915</xdr:rowOff>
    </xdr:from>
    <xdr:to>
      <xdr:col>0</xdr:col>
      <xdr:colOff>1492248</xdr:colOff>
      <xdr:row>127</xdr:row>
      <xdr:rowOff>458195</xdr:rowOff>
    </xdr:to>
    <xdr:pic>
      <xdr:nvPicPr>
        <xdr:cNvPr id="56" name="Рисунок 55" descr="C:\Users\Денис\Desktop\Картинки\МАССА-К\MK_R2P10_s.jpg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507153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131</xdr:row>
      <xdr:rowOff>52915</xdr:rowOff>
    </xdr:from>
    <xdr:to>
      <xdr:col>0</xdr:col>
      <xdr:colOff>1502831</xdr:colOff>
      <xdr:row>133</xdr:row>
      <xdr:rowOff>458194</xdr:rowOff>
    </xdr:to>
    <xdr:pic>
      <xdr:nvPicPr>
        <xdr:cNvPr id="57" name="Рисунок 56" descr="C:\Users\Денис\Desktop\Картинки\МАССА-К\MK-RL10-1_s.jpg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533717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74081</xdr:colOff>
      <xdr:row>138</xdr:row>
      <xdr:rowOff>52915</xdr:rowOff>
    </xdr:from>
    <xdr:ext cx="1428750" cy="1428750"/>
    <xdr:pic>
      <xdr:nvPicPr>
        <xdr:cNvPr id="58" name="Рисунок 57" descr="C:\Users\Денис\Desktop\Картинки\МАССА-К\MK-RL10-1_s.jpg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533717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74081</xdr:colOff>
      <xdr:row>144</xdr:row>
      <xdr:rowOff>219606</xdr:rowOff>
    </xdr:from>
    <xdr:to>
      <xdr:col>0</xdr:col>
      <xdr:colOff>1502831</xdr:colOff>
      <xdr:row>148</xdr:row>
      <xdr:rowOff>124356</xdr:rowOff>
    </xdr:to>
    <xdr:pic>
      <xdr:nvPicPr>
        <xdr:cNvPr id="63" name="Рисунок 62" descr="C:\Users\Денис\Desktop\Картинки\МАССА-К\ТВ\TB-S-A1_s.jpg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5530982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155</xdr:row>
      <xdr:rowOff>42236</xdr:rowOff>
    </xdr:from>
    <xdr:to>
      <xdr:col>0</xdr:col>
      <xdr:colOff>1502831</xdr:colOff>
      <xdr:row>158</xdr:row>
      <xdr:rowOff>327986</xdr:rowOff>
    </xdr:to>
    <xdr:pic>
      <xdr:nvPicPr>
        <xdr:cNvPr id="64" name="Рисунок 63" descr="C:\Users\Денис\Desktop\Картинки\МАССА-К\ТВ\TB-S-A3_s.jpg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/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7227348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164</xdr:row>
      <xdr:rowOff>63498</xdr:rowOff>
    </xdr:from>
    <xdr:to>
      <xdr:col>0</xdr:col>
      <xdr:colOff>1492248</xdr:colOff>
      <xdr:row>167</xdr:row>
      <xdr:rowOff>349248</xdr:rowOff>
    </xdr:to>
    <xdr:pic>
      <xdr:nvPicPr>
        <xdr:cNvPr id="65" name="Рисунок 64" descr="C:\Users\Денис\Desktop\Картинки\МАССА-К\ТВ\TB-M-A1_s.jp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749511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170</xdr:row>
      <xdr:rowOff>42284</xdr:rowOff>
    </xdr:from>
    <xdr:to>
      <xdr:col>0</xdr:col>
      <xdr:colOff>1502831</xdr:colOff>
      <xdr:row>173</xdr:row>
      <xdr:rowOff>328034</xdr:rowOff>
    </xdr:to>
    <xdr:pic>
      <xdr:nvPicPr>
        <xdr:cNvPr id="66" name="Рисунок 65" descr="C:\Users\Денис\Desktop\Картинки\МАССА-К\ТВ\TB-M-A3_s.jp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/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7645395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182</xdr:row>
      <xdr:rowOff>52915</xdr:rowOff>
    </xdr:from>
    <xdr:to>
      <xdr:col>0</xdr:col>
      <xdr:colOff>1492248</xdr:colOff>
      <xdr:row>184</xdr:row>
      <xdr:rowOff>458195</xdr:rowOff>
    </xdr:to>
    <xdr:pic>
      <xdr:nvPicPr>
        <xdr:cNvPr id="80" name="Рисунок 79" descr="C:\Users\Денис\Desktop\Картинки\МАССА-К\ВЭМ\VEM-150-A3_s.jpg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PicPr/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1662248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188</xdr:row>
      <xdr:rowOff>52915</xdr:rowOff>
    </xdr:from>
    <xdr:to>
      <xdr:col>0</xdr:col>
      <xdr:colOff>1492248</xdr:colOff>
      <xdr:row>192</xdr:row>
      <xdr:rowOff>196724</xdr:rowOff>
    </xdr:to>
    <xdr:pic>
      <xdr:nvPicPr>
        <xdr:cNvPr id="82" name="Рисунок 81" descr="C:\Users\Денис\Desktop\Картинки\МАССА-К\ЕК\EK-A_s.jpg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PicPr/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4318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193</xdr:row>
      <xdr:rowOff>105780</xdr:rowOff>
    </xdr:from>
    <xdr:to>
      <xdr:col>0</xdr:col>
      <xdr:colOff>1492248</xdr:colOff>
      <xdr:row>197</xdr:row>
      <xdr:rowOff>249589</xdr:rowOff>
    </xdr:to>
    <xdr:pic>
      <xdr:nvPicPr>
        <xdr:cNvPr id="83" name="Рисунок 82" descr="C:\Users\Денис\Desktop\Картинки\МАССА-К\ЕК\EK-CM-5_s.jpg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PicPr/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95959030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149</xdr:row>
      <xdr:rowOff>370369</xdr:rowOff>
    </xdr:from>
    <xdr:to>
      <xdr:col>0</xdr:col>
      <xdr:colOff>1492248</xdr:colOff>
      <xdr:row>153</xdr:row>
      <xdr:rowOff>275119</xdr:rowOff>
    </xdr:to>
    <xdr:pic>
      <xdr:nvPicPr>
        <xdr:cNvPr id="67" name="Рисунок 66" descr="C:\Users\Денис\Desktop\Картинки\МАССА-К\ТВ\TB-S-T2_s.jp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7069661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306908</xdr:colOff>
      <xdr:row>240</xdr:row>
      <xdr:rowOff>21167</xdr:rowOff>
    </xdr:from>
    <xdr:ext cx="714375" cy="714375"/>
    <xdr:pic>
      <xdr:nvPicPr>
        <xdr:cNvPr id="115" name="Рисунок 114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779125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241</xdr:row>
      <xdr:rowOff>31749</xdr:rowOff>
    </xdr:from>
    <xdr:ext cx="714375" cy="714375"/>
    <xdr:pic>
      <xdr:nvPicPr>
        <xdr:cNvPr id="116" name="Рисунок 115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085638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243</xdr:row>
      <xdr:rowOff>31749</xdr:rowOff>
    </xdr:from>
    <xdr:ext cx="666750" cy="714375"/>
    <xdr:pic>
      <xdr:nvPicPr>
        <xdr:cNvPr id="117" name="Рисунок 116" descr="C:\Users\Денис\Desktop\Картинки\МАССА-К\Терминалы\ST4Ds.jpg">
          <a:extLst>
            <a:ext uri="{FF2B5EF4-FFF2-40B4-BE49-F238E27FC236}">
              <a16:creationId xmlns:a16="http://schemas.microsoft.com/office/drawing/2014/main" id="{00000000-0008-0000-0800-000075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0956924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244</xdr:row>
      <xdr:rowOff>31749</xdr:rowOff>
    </xdr:from>
    <xdr:ext cx="740833" cy="714375"/>
    <xdr:pic>
      <xdr:nvPicPr>
        <xdr:cNvPr id="118" name="Рисунок 117" descr="C:\Users\Денис\Desktop\Картинки\МАССА-К\Терминалы\DI4D.W_s.jpg">
          <a:extLst>
            <a:ext uri="{FF2B5EF4-FFF2-40B4-BE49-F238E27FC236}">
              <a16:creationId xmlns:a16="http://schemas.microsoft.com/office/drawing/2014/main" id="{00000000-0008-0000-0800-000076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1033124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233</xdr:row>
      <xdr:rowOff>21180</xdr:rowOff>
    </xdr:from>
    <xdr:ext cx="714375" cy="714375"/>
    <xdr:pic>
      <xdr:nvPicPr>
        <xdr:cNvPr id="119" name="Рисунок 118" descr="C:\Users\Денис\Desktop\Картинки\МАССА-К\Терминалы\A_s.jpg">
          <a:extLst>
            <a:ext uri="{FF2B5EF4-FFF2-40B4-BE49-F238E27FC236}">
              <a16:creationId xmlns:a16="http://schemas.microsoft.com/office/drawing/2014/main" id="{00000000-0008-0000-08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0169526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234</xdr:row>
      <xdr:rowOff>31750</xdr:rowOff>
    </xdr:from>
    <xdr:ext cx="714375" cy="714375"/>
    <xdr:pic>
      <xdr:nvPicPr>
        <xdr:cNvPr id="120" name="Рисунок 119" descr="C:\Users\Денис\Desktop\Картинки\МАССА-К\Терминалы\A(RUEW)_s.jpg">
          <a:extLst>
            <a:ext uri="{FF2B5EF4-FFF2-40B4-BE49-F238E27FC236}">
              <a16:creationId xmlns:a16="http://schemas.microsoft.com/office/drawing/2014/main" id="{00000000-0008-0000-08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02467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235</xdr:row>
      <xdr:rowOff>31750</xdr:rowOff>
    </xdr:from>
    <xdr:ext cx="714375" cy="714375"/>
    <xdr:pic>
      <xdr:nvPicPr>
        <xdr:cNvPr id="121" name="Рисунок 120" descr="C:\Users\Денис\Desktop\Картинки\МАССА-К\Терминалы\AB_s.jpg">
          <a:extLst>
            <a:ext uri="{FF2B5EF4-FFF2-40B4-BE49-F238E27FC236}">
              <a16:creationId xmlns:a16="http://schemas.microsoft.com/office/drawing/2014/main" id="{00000000-0008-0000-08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03229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236</xdr:row>
      <xdr:rowOff>31750</xdr:rowOff>
    </xdr:from>
    <xdr:ext cx="714375" cy="714375"/>
    <xdr:pic>
      <xdr:nvPicPr>
        <xdr:cNvPr id="122" name="Рисунок 121" descr="C:\Users\Денис\Desktop\Картинки\МАССА-К\Терминалы\AB(RUEW)_s.jpg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03991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237</xdr:row>
      <xdr:rowOff>31750</xdr:rowOff>
    </xdr:from>
    <xdr:ext cx="714375" cy="714375"/>
    <xdr:pic>
      <xdr:nvPicPr>
        <xdr:cNvPr id="123" name="Рисунок 122" descr="C:\Users\Денис\Desktop\Картинки\МАССА-К\Терминалы\RA_s.jpg">
          <a:extLst>
            <a:ext uri="{FF2B5EF4-FFF2-40B4-BE49-F238E27FC236}">
              <a16:creationId xmlns:a16="http://schemas.microsoft.com/office/drawing/2014/main" id="{00000000-0008-0000-08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04753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238</xdr:row>
      <xdr:rowOff>31750</xdr:rowOff>
    </xdr:from>
    <xdr:ext cx="714375" cy="714375"/>
    <xdr:pic>
      <xdr:nvPicPr>
        <xdr:cNvPr id="125" name="Рисунок 124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062778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239</xdr:row>
      <xdr:rowOff>31749</xdr:rowOff>
    </xdr:from>
    <xdr:ext cx="714375" cy="714375"/>
    <xdr:pic>
      <xdr:nvPicPr>
        <xdr:cNvPr id="126" name="Рисунок 125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070398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63498</xdr:colOff>
      <xdr:row>230</xdr:row>
      <xdr:rowOff>52915</xdr:rowOff>
    </xdr:from>
    <xdr:to>
      <xdr:col>0</xdr:col>
      <xdr:colOff>1492248</xdr:colOff>
      <xdr:row>231</xdr:row>
      <xdr:rowOff>719665</xdr:rowOff>
    </xdr:to>
    <xdr:pic>
      <xdr:nvPicPr>
        <xdr:cNvPr id="127" name="Рисунок 126" descr="C:\Users\Денис\Desktop\Картинки\МАССА-К\4D-LM\4D-LM_s.jpg">
          <a:extLst>
            <a:ext uri="{FF2B5EF4-FFF2-40B4-BE49-F238E27FC236}">
              <a16:creationId xmlns:a16="http://schemas.microsoft.com/office/drawing/2014/main" id="{00000000-0008-0000-0800-00007F000000}"/>
            </a:ext>
          </a:extLst>
        </xdr:cNvPr>
        <xdr:cNvPicPr/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16691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248</xdr:row>
      <xdr:rowOff>42332</xdr:rowOff>
    </xdr:from>
    <xdr:to>
      <xdr:col>0</xdr:col>
      <xdr:colOff>1502831</xdr:colOff>
      <xdr:row>252</xdr:row>
      <xdr:rowOff>66611</xdr:rowOff>
    </xdr:to>
    <xdr:pic>
      <xdr:nvPicPr>
        <xdr:cNvPr id="128" name="Рисунок 127" descr="C:\Users\Денис\Desktop\Картинки\МАССА-К\4D-LA\4D-LA_s.jpg">
          <a:extLst>
            <a:ext uri="{FF2B5EF4-FFF2-40B4-BE49-F238E27FC236}">
              <a16:creationId xmlns:a16="http://schemas.microsoft.com/office/drawing/2014/main" id="{00000000-0008-0000-0800-000080000000}"/>
            </a:ext>
          </a:extLst>
        </xdr:cNvPr>
        <xdr:cNvPicPr/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2884149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74081</xdr:colOff>
      <xdr:row>251</xdr:row>
      <xdr:rowOff>264532</xdr:rowOff>
    </xdr:from>
    <xdr:to>
      <xdr:col>0</xdr:col>
      <xdr:colOff>1502831</xdr:colOff>
      <xdr:row>255</xdr:row>
      <xdr:rowOff>288811</xdr:rowOff>
    </xdr:to>
    <xdr:pic>
      <xdr:nvPicPr>
        <xdr:cNvPr id="129" name="Рисунок 128" descr="C:\Users\Денис\Desktop\Картинки\МАССА-К\4D-LA\4D-LA.S_s.jpg">
          <a:extLst>
            <a:ext uri="{FF2B5EF4-FFF2-40B4-BE49-F238E27FC236}">
              <a16:creationId xmlns:a16="http://schemas.microsoft.com/office/drawing/2014/main" id="{00000000-0008-0000-0800-000081000000}"/>
            </a:ext>
          </a:extLst>
        </xdr:cNvPr>
        <xdr:cNvPicPr/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30111449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306908</xdr:colOff>
      <xdr:row>264</xdr:row>
      <xdr:rowOff>21167</xdr:rowOff>
    </xdr:from>
    <xdr:ext cx="714375" cy="714375"/>
    <xdr:pic>
      <xdr:nvPicPr>
        <xdr:cNvPr id="130" name="Рисунок 129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2452350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265</xdr:row>
      <xdr:rowOff>31749</xdr:rowOff>
    </xdr:from>
    <xdr:ext cx="714375" cy="714375"/>
    <xdr:pic>
      <xdr:nvPicPr>
        <xdr:cNvPr id="131" name="Рисунок 130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252960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267</xdr:row>
      <xdr:rowOff>31749</xdr:rowOff>
    </xdr:from>
    <xdr:ext cx="666750" cy="714375"/>
    <xdr:pic>
      <xdr:nvPicPr>
        <xdr:cNvPr id="132" name="Рисунок 131" descr="C:\Users\Денис\Desktop\Картинки\МАССА-К\Терминалы\ST4Ds.jpg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2630149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268</xdr:row>
      <xdr:rowOff>31749</xdr:rowOff>
    </xdr:from>
    <xdr:ext cx="740833" cy="714375"/>
    <xdr:pic>
      <xdr:nvPicPr>
        <xdr:cNvPr id="133" name="Рисунок 132" descr="C:\Users\Денис\Desktop\Картинки\МАССА-К\Терминалы\DI4D.W_s.jpg">
          <a:extLst>
            <a:ext uri="{FF2B5EF4-FFF2-40B4-BE49-F238E27FC236}">
              <a16:creationId xmlns:a16="http://schemas.microsoft.com/office/drawing/2014/main" id="{00000000-0008-0000-0800-000085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2706349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257</xdr:row>
      <xdr:rowOff>21180</xdr:rowOff>
    </xdr:from>
    <xdr:ext cx="714375" cy="714375"/>
    <xdr:pic>
      <xdr:nvPicPr>
        <xdr:cNvPr id="134" name="Рисунок 133" descr="C:\Users\Денис\Desktop\Картинки\МАССА-К\Терминалы\A_s.jpg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1842751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258</xdr:row>
      <xdr:rowOff>31750</xdr:rowOff>
    </xdr:from>
    <xdr:ext cx="714375" cy="714375"/>
    <xdr:pic>
      <xdr:nvPicPr>
        <xdr:cNvPr id="135" name="Рисунок 134" descr="C:\Users\Денис\Desktop\Картинки\МАССА-К\Терминалы\A(RUEW)_s.jpg">
          <a:extLst>
            <a:ext uri="{FF2B5EF4-FFF2-40B4-BE49-F238E27FC236}">
              <a16:creationId xmlns:a16="http://schemas.microsoft.com/office/drawing/2014/main" id="{00000000-0008-0000-08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19200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259</xdr:row>
      <xdr:rowOff>31750</xdr:rowOff>
    </xdr:from>
    <xdr:ext cx="714375" cy="714375"/>
    <xdr:pic>
      <xdr:nvPicPr>
        <xdr:cNvPr id="136" name="Рисунок 135" descr="C:\Users\Денис\Desktop\Картинки\МАССА-К\Терминалы\AB_s.jpg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19962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260</xdr:row>
      <xdr:rowOff>31750</xdr:rowOff>
    </xdr:from>
    <xdr:ext cx="714375" cy="714375"/>
    <xdr:pic>
      <xdr:nvPicPr>
        <xdr:cNvPr id="137" name="Рисунок 136" descr="C:\Users\Денис\Desktop\Картинки\МАССА-К\Терминалы\AB(RUEW)_s.jpg">
          <a:extLst>
            <a:ext uri="{FF2B5EF4-FFF2-40B4-BE49-F238E27FC236}">
              <a16:creationId xmlns:a16="http://schemas.microsoft.com/office/drawing/2014/main" id="{00000000-0008-0000-08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20724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261</xdr:row>
      <xdr:rowOff>31750</xdr:rowOff>
    </xdr:from>
    <xdr:ext cx="714375" cy="714375"/>
    <xdr:pic>
      <xdr:nvPicPr>
        <xdr:cNvPr id="138" name="Рисунок 137" descr="C:\Users\Денис\Desktop\Картинки\МАССА-К\Терминалы\RA_s.jpg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21486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262</xdr:row>
      <xdr:rowOff>31750</xdr:rowOff>
    </xdr:from>
    <xdr:ext cx="714375" cy="714375"/>
    <xdr:pic>
      <xdr:nvPicPr>
        <xdr:cNvPr id="140" name="Рисунок 139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230100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263</xdr:row>
      <xdr:rowOff>31749</xdr:rowOff>
    </xdr:from>
    <xdr:ext cx="714375" cy="714375"/>
    <xdr:pic>
      <xdr:nvPicPr>
        <xdr:cNvPr id="141" name="Рисунок 140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237720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282</xdr:row>
      <xdr:rowOff>21167</xdr:rowOff>
    </xdr:from>
    <xdr:ext cx="714375" cy="714375"/>
    <xdr:pic>
      <xdr:nvPicPr>
        <xdr:cNvPr id="142" name="Рисунок 141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3795375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283</xdr:row>
      <xdr:rowOff>31749</xdr:rowOff>
    </xdr:from>
    <xdr:ext cx="714375" cy="714375"/>
    <xdr:pic>
      <xdr:nvPicPr>
        <xdr:cNvPr id="143" name="Рисунок 142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387263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285</xdr:row>
      <xdr:rowOff>31749</xdr:rowOff>
    </xdr:from>
    <xdr:ext cx="666750" cy="714375"/>
    <xdr:pic>
      <xdr:nvPicPr>
        <xdr:cNvPr id="144" name="Рисунок 143" descr="C:\Users\Денис\Desktop\Картинки\МАССА-К\Терминалы\ST4Ds.jpg">
          <a:extLst>
            <a:ext uri="{FF2B5EF4-FFF2-40B4-BE49-F238E27FC236}">
              <a16:creationId xmlns:a16="http://schemas.microsoft.com/office/drawing/2014/main" id="{00000000-0008-0000-0800-000090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3973174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286</xdr:row>
      <xdr:rowOff>31749</xdr:rowOff>
    </xdr:from>
    <xdr:ext cx="740833" cy="714375"/>
    <xdr:pic>
      <xdr:nvPicPr>
        <xdr:cNvPr id="145" name="Рисунок 144" descr="C:\Users\Денис\Desktop\Картинки\МАССА-К\Терминалы\DI4D.W_s.jpg">
          <a:extLst>
            <a:ext uri="{FF2B5EF4-FFF2-40B4-BE49-F238E27FC236}">
              <a16:creationId xmlns:a16="http://schemas.microsoft.com/office/drawing/2014/main" id="{00000000-0008-0000-0800-000091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4049374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275</xdr:row>
      <xdr:rowOff>21180</xdr:rowOff>
    </xdr:from>
    <xdr:ext cx="714375" cy="714375"/>
    <xdr:pic>
      <xdr:nvPicPr>
        <xdr:cNvPr id="146" name="Рисунок 145" descr="C:\Users\Денис\Desktop\Картинки\МАССА-К\Терминалы\A_s.jpg">
          <a:extLst>
            <a:ext uri="{FF2B5EF4-FFF2-40B4-BE49-F238E27FC236}">
              <a16:creationId xmlns:a16="http://schemas.microsoft.com/office/drawing/2014/main" id="{00000000-0008-0000-08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3185776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276</xdr:row>
      <xdr:rowOff>31750</xdr:rowOff>
    </xdr:from>
    <xdr:ext cx="714375" cy="714375"/>
    <xdr:pic>
      <xdr:nvPicPr>
        <xdr:cNvPr id="147" name="Рисунок 146" descr="C:\Users\Денис\Desktop\Картинки\МАССА-К\Терминалы\A(RUEW)_s.jpg">
          <a:extLst>
            <a:ext uri="{FF2B5EF4-FFF2-40B4-BE49-F238E27FC236}">
              <a16:creationId xmlns:a16="http://schemas.microsoft.com/office/drawing/2014/main" id="{00000000-0008-0000-08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32630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277</xdr:row>
      <xdr:rowOff>31750</xdr:rowOff>
    </xdr:from>
    <xdr:ext cx="714375" cy="714375"/>
    <xdr:pic>
      <xdr:nvPicPr>
        <xdr:cNvPr id="148" name="Рисунок 147" descr="C:\Users\Денис\Desktop\Картинки\МАССА-К\Терминалы\AB_s.jpg">
          <a:extLst>
            <a:ext uri="{FF2B5EF4-FFF2-40B4-BE49-F238E27FC236}">
              <a16:creationId xmlns:a16="http://schemas.microsoft.com/office/drawing/2014/main" id="{00000000-0008-0000-08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33392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278</xdr:row>
      <xdr:rowOff>31750</xdr:rowOff>
    </xdr:from>
    <xdr:ext cx="714375" cy="714375"/>
    <xdr:pic>
      <xdr:nvPicPr>
        <xdr:cNvPr id="149" name="Рисунок 148" descr="C:\Users\Денис\Desktop\Картинки\МАССА-К\Терминалы\AB(RUEW)_s.jpg">
          <a:extLst>
            <a:ext uri="{FF2B5EF4-FFF2-40B4-BE49-F238E27FC236}">
              <a16:creationId xmlns:a16="http://schemas.microsoft.com/office/drawing/2014/main" id="{00000000-0008-0000-08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34154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279</xdr:row>
      <xdr:rowOff>31750</xdr:rowOff>
    </xdr:from>
    <xdr:ext cx="714375" cy="714375"/>
    <xdr:pic>
      <xdr:nvPicPr>
        <xdr:cNvPr id="150" name="Рисунок 149" descr="C:\Users\Денис\Desktop\Картинки\МАССА-К\Терминалы\RA_s.jpg">
          <a:extLst>
            <a:ext uri="{FF2B5EF4-FFF2-40B4-BE49-F238E27FC236}">
              <a16:creationId xmlns:a16="http://schemas.microsoft.com/office/drawing/2014/main" id="{00000000-0008-0000-08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34916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280</xdr:row>
      <xdr:rowOff>31750</xdr:rowOff>
    </xdr:from>
    <xdr:ext cx="714375" cy="714375"/>
    <xdr:pic>
      <xdr:nvPicPr>
        <xdr:cNvPr id="152" name="Рисунок 151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3644033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281</xdr:row>
      <xdr:rowOff>31749</xdr:rowOff>
    </xdr:from>
    <xdr:ext cx="714375" cy="714375"/>
    <xdr:pic>
      <xdr:nvPicPr>
        <xdr:cNvPr id="153" name="Рисунок 152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3720233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74081</xdr:colOff>
      <xdr:row>272</xdr:row>
      <xdr:rowOff>52915</xdr:rowOff>
    </xdr:from>
    <xdr:to>
      <xdr:col>0</xdr:col>
      <xdr:colOff>1502831</xdr:colOff>
      <xdr:row>273</xdr:row>
      <xdr:rowOff>719665</xdr:rowOff>
    </xdr:to>
    <xdr:pic>
      <xdr:nvPicPr>
        <xdr:cNvPr id="154" name="Рисунок 153" descr="C:\Users\Денис\Desktop\Картинки\МАССА-К\4D-U\4D-U_s.jpg">
          <a:extLst>
            <a:ext uri="{FF2B5EF4-FFF2-40B4-BE49-F238E27FC236}">
              <a16:creationId xmlns:a16="http://schemas.microsoft.com/office/drawing/2014/main" id="{00000000-0008-0000-0800-00009A000000}"/>
            </a:ext>
          </a:extLst>
        </xdr:cNvPr>
        <xdr:cNvPicPr/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1422823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306908</xdr:colOff>
      <xdr:row>300</xdr:row>
      <xdr:rowOff>21167</xdr:rowOff>
    </xdr:from>
    <xdr:ext cx="714375" cy="714375"/>
    <xdr:pic>
      <xdr:nvPicPr>
        <xdr:cNvPr id="155" name="Рисунок 154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50114000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338656</xdr:colOff>
      <xdr:row>301</xdr:row>
      <xdr:rowOff>31749</xdr:rowOff>
    </xdr:from>
    <xdr:ext cx="714375" cy="714375"/>
    <xdr:pic>
      <xdr:nvPicPr>
        <xdr:cNvPr id="156" name="Рисунок 155" descr="C:\Users\Денис\Desktop\Картинки\МАССА-К\Терминалы\R2L_s.jpg">
          <a:extLst>
            <a:ext uri="{FF2B5EF4-FFF2-40B4-BE49-F238E27FC236}">
              <a16:creationId xmlns:a16="http://schemas.microsoft.com/office/drawing/2014/main" id="{00000000-0008-0000-08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6" y="1508865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444486</xdr:colOff>
      <xdr:row>303</xdr:row>
      <xdr:rowOff>31749</xdr:rowOff>
    </xdr:from>
    <xdr:ext cx="666750" cy="714375"/>
    <xdr:pic>
      <xdr:nvPicPr>
        <xdr:cNvPr id="157" name="Рисунок 156" descr="C:\Users\Денис\Desktop\Картинки\МАССА-К\Терминалы\ST4Ds.jpg">
          <a:extLst>
            <a:ext uri="{FF2B5EF4-FFF2-40B4-BE49-F238E27FC236}">
              <a16:creationId xmlns:a16="http://schemas.microsoft.com/office/drawing/2014/main" id="{00000000-0008-0000-0800-00009D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51891999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304</xdr:row>
      <xdr:rowOff>31749</xdr:rowOff>
    </xdr:from>
    <xdr:ext cx="740833" cy="714375"/>
    <xdr:pic>
      <xdr:nvPicPr>
        <xdr:cNvPr id="158" name="Рисунок 157" descr="C:\Users\Денис\Desktop\Картинки\МАССА-К\Терминалы\DI4D.W_s.jpg">
          <a:extLst>
            <a:ext uri="{FF2B5EF4-FFF2-40B4-BE49-F238E27FC236}">
              <a16:creationId xmlns:a16="http://schemas.microsoft.com/office/drawing/2014/main" id="{00000000-0008-0000-0800-00009E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52653999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338671</xdr:colOff>
      <xdr:row>293</xdr:row>
      <xdr:rowOff>21180</xdr:rowOff>
    </xdr:from>
    <xdr:ext cx="714375" cy="714375"/>
    <xdr:pic>
      <xdr:nvPicPr>
        <xdr:cNvPr id="159" name="Рисунок 158" descr="C:\Users\Денис\Desktop\Картинки\МАССА-К\Терминалы\A_s.jpg">
          <a:extLst>
            <a:ext uri="{FF2B5EF4-FFF2-40B4-BE49-F238E27FC236}">
              <a16:creationId xmlns:a16="http://schemas.microsoft.com/office/drawing/2014/main" id="{00000000-0008-0000-08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71" y="14401801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349240</xdr:colOff>
      <xdr:row>294</xdr:row>
      <xdr:rowOff>31750</xdr:rowOff>
    </xdr:from>
    <xdr:ext cx="714375" cy="714375"/>
    <xdr:pic>
      <xdr:nvPicPr>
        <xdr:cNvPr id="160" name="Рисунок 159" descr="C:\Users\Денис\Desktop\Картинки\МАССА-К\Терминалы\A(RUEW)_s.jpg">
          <a:extLst>
            <a:ext uri="{FF2B5EF4-FFF2-40B4-BE49-F238E27FC236}">
              <a16:creationId xmlns:a16="http://schemas.microsoft.com/office/drawing/2014/main" id="{00000000-0008-0000-08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0" y="144790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338657</xdr:colOff>
      <xdr:row>295</xdr:row>
      <xdr:rowOff>31750</xdr:rowOff>
    </xdr:from>
    <xdr:ext cx="714375" cy="714375"/>
    <xdr:pic>
      <xdr:nvPicPr>
        <xdr:cNvPr id="161" name="Рисунок 160" descr="C:\Users\Денис\Desktop\Картинки\МАССА-К\Терминалы\AB_s.jpg">
          <a:extLst>
            <a:ext uri="{FF2B5EF4-FFF2-40B4-BE49-F238E27FC236}">
              <a16:creationId xmlns:a16="http://schemas.microsoft.com/office/drawing/2014/main" id="{00000000-0008-0000-08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57" y="145552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317491</xdr:colOff>
      <xdr:row>296</xdr:row>
      <xdr:rowOff>31750</xdr:rowOff>
    </xdr:from>
    <xdr:ext cx="714375" cy="714375"/>
    <xdr:pic>
      <xdr:nvPicPr>
        <xdr:cNvPr id="162" name="Рисунок 161" descr="C:\Users\Денис\Desktop\Картинки\МАССА-К\Терминалы\AB(RUEW)_s.jpg">
          <a:extLst>
            <a:ext uri="{FF2B5EF4-FFF2-40B4-BE49-F238E27FC236}">
              <a16:creationId xmlns:a16="http://schemas.microsoft.com/office/drawing/2014/main" id="{00000000-0008-0000-08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1" y="146314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306908</xdr:colOff>
      <xdr:row>297</xdr:row>
      <xdr:rowOff>31750</xdr:rowOff>
    </xdr:from>
    <xdr:ext cx="714375" cy="714375"/>
    <xdr:pic>
      <xdr:nvPicPr>
        <xdr:cNvPr id="163" name="Рисунок 162" descr="C:\Users\Денис\Desktop\Картинки\МАССА-К\Терминалы\RA_s.jpg">
          <a:extLst>
            <a:ext uri="{FF2B5EF4-FFF2-40B4-BE49-F238E27FC236}">
              <a16:creationId xmlns:a16="http://schemas.microsoft.com/office/drawing/2014/main" id="{00000000-0008-0000-08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08" y="147076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285791</xdr:colOff>
      <xdr:row>298</xdr:row>
      <xdr:rowOff>31750</xdr:rowOff>
    </xdr:from>
    <xdr:ext cx="714375" cy="714375"/>
    <xdr:pic>
      <xdr:nvPicPr>
        <xdr:cNvPr id="165" name="Рисунок 164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91" y="148600583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296324</xdr:colOff>
      <xdr:row>299</xdr:row>
      <xdr:rowOff>31749</xdr:rowOff>
    </xdr:from>
    <xdr:ext cx="714375" cy="714375"/>
    <xdr:pic>
      <xdr:nvPicPr>
        <xdr:cNvPr id="166" name="Рисунок 165" descr="C:\Users\Денис\Desktop\Картинки\МАССА-К\Терминалы\RPs.jpg">
          <a:extLst>
            <a:ext uri="{FF2B5EF4-FFF2-40B4-BE49-F238E27FC236}">
              <a16:creationId xmlns:a16="http://schemas.microsoft.com/office/drawing/2014/main" id="{00000000-0008-0000-08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24" y="149362582"/>
          <a:ext cx="714375" cy="7143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63498</xdr:colOff>
      <xdr:row>290</xdr:row>
      <xdr:rowOff>52915</xdr:rowOff>
    </xdr:from>
    <xdr:to>
      <xdr:col>0</xdr:col>
      <xdr:colOff>1492248</xdr:colOff>
      <xdr:row>291</xdr:row>
      <xdr:rowOff>719665</xdr:rowOff>
    </xdr:to>
    <xdr:pic>
      <xdr:nvPicPr>
        <xdr:cNvPr id="167" name="Рисунок 166" descr="C:\Users\Денис\Desktop\Картинки\МАССА-К\4D-B-23\4D-B-23_s.jpg">
          <a:extLst>
            <a:ext uri="{FF2B5EF4-FFF2-40B4-BE49-F238E27FC236}">
              <a16:creationId xmlns:a16="http://schemas.microsoft.com/office/drawing/2014/main" id="{00000000-0008-0000-0800-0000A7000000}"/>
            </a:ext>
          </a:extLst>
        </xdr:cNvPr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5444258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444486</xdr:colOff>
      <xdr:row>219</xdr:row>
      <xdr:rowOff>31749</xdr:rowOff>
    </xdr:from>
    <xdr:ext cx="666750" cy="714375"/>
    <xdr:pic>
      <xdr:nvPicPr>
        <xdr:cNvPr id="114" name="Рисунок 113" descr="C:\Users\Денис\Desktop\Картинки\МАССА-К\Терминалы\ST4Ds.jpg">
          <a:extLst>
            <a:ext uri="{FF2B5EF4-FFF2-40B4-BE49-F238E27FC236}">
              <a16:creationId xmlns:a16="http://schemas.microsoft.com/office/drawing/2014/main" id="{00000000-0008-0000-0800-000072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86" y="118575666"/>
          <a:ext cx="66675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380988</xdr:colOff>
      <xdr:row>220</xdr:row>
      <xdr:rowOff>31749</xdr:rowOff>
    </xdr:from>
    <xdr:ext cx="740833" cy="714375"/>
    <xdr:pic>
      <xdr:nvPicPr>
        <xdr:cNvPr id="168" name="Рисунок 167" descr="C:\Users\Денис\Desktop\Картинки\МАССА-К\Терминалы\DI4D.W_s.jpg">
          <a:extLst>
            <a:ext uri="{FF2B5EF4-FFF2-40B4-BE49-F238E27FC236}">
              <a16:creationId xmlns:a16="http://schemas.microsoft.com/office/drawing/2014/main" id="{00000000-0008-0000-0800-0000A8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8" y="119337666"/>
          <a:ext cx="740833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412737</xdr:colOff>
      <xdr:row>221</xdr:row>
      <xdr:rowOff>31749</xdr:rowOff>
    </xdr:from>
    <xdr:ext cx="709083" cy="709083"/>
    <xdr:pic>
      <xdr:nvPicPr>
        <xdr:cNvPr id="169" name="Рисунок 168" descr="C:\Users\Денис\Desktop\Картинки\МАССА-К\Терминалы\4D-PNРМ.jpg">
          <a:extLst>
            <a:ext uri="{FF2B5EF4-FFF2-40B4-BE49-F238E27FC236}">
              <a16:creationId xmlns:a16="http://schemas.microsoft.com/office/drawing/2014/main" id="{00000000-0008-0000-0800-0000A9000000}"/>
            </a:ext>
          </a:extLst>
        </xdr:cNvPr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37" y="120099666"/>
          <a:ext cx="709083" cy="7090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402154</xdr:colOff>
      <xdr:row>222</xdr:row>
      <xdr:rowOff>31749</xdr:rowOff>
    </xdr:from>
    <xdr:ext cx="709083" cy="709083"/>
    <xdr:pic>
      <xdr:nvPicPr>
        <xdr:cNvPr id="170" name="Рисунок 169" descr="C:\Users\Денис\Desktop\Картинки\МАССА-К\Терминалы\4D-PNРМ.jpg">
          <a:extLst>
            <a:ext uri="{FF2B5EF4-FFF2-40B4-BE49-F238E27FC236}">
              <a16:creationId xmlns:a16="http://schemas.microsoft.com/office/drawing/2014/main" id="{00000000-0008-0000-0800-0000AA000000}"/>
            </a:ext>
          </a:extLst>
        </xdr:cNvPr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54" y="120861666"/>
          <a:ext cx="709083" cy="7090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412737</xdr:colOff>
      <xdr:row>223</xdr:row>
      <xdr:rowOff>31749</xdr:rowOff>
    </xdr:from>
    <xdr:ext cx="709083" cy="709083"/>
    <xdr:pic>
      <xdr:nvPicPr>
        <xdr:cNvPr id="171" name="Рисунок 170" descr="C:\Users\Денис\Desktop\Картинки\МАССА-К\Терминалы\4D-PNРМ.jpg">
          <a:extLst>
            <a:ext uri="{FF2B5EF4-FFF2-40B4-BE49-F238E27FC236}">
              <a16:creationId xmlns:a16="http://schemas.microsoft.com/office/drawing/2014/main" id="{00000000-0008-0000-0800-0000AB000000}"/>
            </a:ext>
          </a:extLst>
        </xdr:cNvPr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37" y="121623666"/>
          <a:ext cx="709083" cy="7090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402155</xdr:colOff>
      <xdr:row>224</xdr:row>
      <xdr:rowOff>31750</xdr:rowOff>
    </xdr:from>
    <xdr:ext cx="698499" cy="698499"/>
    <xdr:pic>
      <xdr:nvPicPr>
        <xdr:cNvPr id="172" name="Рисунок 171" descr="C:\Users\Денис\Desktop\Картинки\МАССА-К\Терминалы\RM4D-PМs.jpg">
          <a:extLst>
            <a:ext uri="{FF2B5EF4-FFF2-40B4-BE49-F238E27FC236}">
              <a16:creationId xmlns:a16="http://schemas.microsoft.com/office/drawing/2014/main" id="{00000000-0008-0000-0800-0000AC000000}"/>
            </a:ext>
          </a:extLst>
        </xdr:cNvPr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55" y="122385667"/>
          <a:ext cx="698499" cy="6984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391571</xdr:colOff>
      <xdr:row>225</xdr:row>
      <xdr:rowOff>31749</xdr:rowOff>
    </xdr:from>
    <xdr:ext cx="698499" cy="698499"/>
    <xdr:pic>
      <xdr:nvPicPr>
        <xdr:cNvPr id="173" name="Рисунок 172" descr="C:\Users\Денис\Desktop\Картинки\МАССА-К\Терминалы\RM4D-PМs.jpg">
          <a:extLst>
            <a:ext uri="{FF2B5EF4-FFF2-40B4-BE49-F238E27FC236}">
              <a16:creationId xmlns:a16="http://schemas.microsoft.com/office/drawing/2014/main" id="{00000000-0008-0000-0800-0000AD000000}"/>
            </a:ext>
          </a:extLst>
        </xdr:cNvPr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71" y="123147666"/>
          <a:ext cx="698499" cy="6984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402154</xdr:colOff>
      <xdr:row>226</xdr:row>
      <xdr:rowOff>31749</xdr:rowOff>
    </xdr:from>
    <xdr:ext cx="698499" cy="698499"/>
    <xdr:pic>
      <xdr:nvPicPr>
        <xdr:cNvPr id="174" name="Рисунок 173" descr="C:\Users\Денис\Desktop\Картинки\МАССА-К\Терминалы\RM4D-PМs.jpg">
          <a:extLst>
            <a:ext uri="{FF2B5EF4-FFF2-40B4-BE49-F238E27FC236}">
              <a16:creationId xmlns:a16="http://schemas.microsoft.com/office/drawing/2014/main" id="{00000000-0008-0000-0800-0000AE000000}"/>
            </a:ext>
          </a:extLst>
        </xdr:cNvPr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54" y="123909666"/>
          <a:ext cx="698499" cy="69849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74081</xdr:colOff>
      <xdr:row>206</xdr:row>
      <xdr:rowOff>158756</xdr:rowOff>
    </xdr:from>
    <xdr:to>
      <xdr:col>0</xdr:col>
      <xdr:colOff>1502831</xdr:colOff>
      <xdr:row>212</xdr:row>
      <xdr:rowOff>145682</xdr:rowOff>
    </xdr:to>
    <xdr:pic>
      <xdr:nvPicPr>
        <xdr:cNvPr id="184" name="Рисунок 183" descr="D:\Картинки для сайта\Картинки\МАССА-К\4D-PM\4D-PM_As.jpg">
          <a:extLst>
            <a:ext uri="{FF2B5EF4-FFF2-40B4-BE49-F238E27FC236}">
              <a16:creationId xmlns:a16="http://schemas.microsoft.com/office/drawing/2014/main" id="{00000000-0008-0000-0800-0000B8000000}"/>
            </a:ext>
          </a:extLst>
        </xdr:cNvPr>
        <xdr:cNvPicPr/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1" y="9893300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71436</xdr:colOff>
      <xdr:row>178</xdr:row>
      <xdr:rowOff>59530</xdr:rowOff>
    </xdr:from>
    <xdr:to>
      <xdr:col>0</xdr:col>
      <xdr:colOff>1500186</xdr:colOff>
      <xdr:row>178</xdr:row>
      <xdr:rowOff>1488280</xdr:rowOff>
    </xdr:to>
    <xdr:pic>
      <xdr:nvPicPr>
        <xdr:cNvPr id="87" name="Рисунок 86" descr="В1-15-">
          <a:extLst>
            <a:ext uri="{FF2B5EF4-FFF2-40B4-BE49-F238E27FC236}">
              <a16:creationId xmlns:a16="http://schemas.microsoft.com/office/drawing/2014/main" id="{00000000-0008-0000-0800-000057000000}"/>
            </a:ext>
          </a:extLst>
        </xdr:cNvPr>
        <xdr:cNvPicPr/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6" y="68079936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144</xdr:row>
      <xdr:rowOff>152400</xdr:rowOff>
    </xdr:from>
    <xdr:to>
      <xdr:col>0</xdr:col>
      <xdr:colOff>1495425</xdr:colOff>
      <xdr:row>150</xdr:row>
      <xdr:rowOff>114300</xdr:rowOff>
    </xdr:to>
    <xdr:pic>
      <xdr:nvPicPr>
        <xdr:cNvPr id="1454875" name="Рисунок 10" descr="AJ-220CE">
          <a:extLst>
            <a:ext uri="{FF2B5EF4-FFF2-40B4-BE49-F238E27FC236}">
              <a16:creationId xmlns:a16="http://schemas.microsoft.com/office/drawing/2014/main" id="{00000000-0008-0000-0900-00001B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31055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152</xdr:row>
      <xdr:rowOff>19050</xdr:rowOff>
    </xdr:from>
    <xdr:to>
      <xdr:col>0</xdr:col>
      <xdr:colOff>1504950</xdr:colOff>
      <xdr:row>157</xdr:row>
      <xdr:rowOff>228600</xdr:rowOff>
    </xdr:to>
    <xdr:pic>
      <xdr:nvPicPr>
        <xdr:cNvPr id="1454876" name="Рисунок 11" descr="AJ-820CE">
          <a:extLst>
            <a:ext uri="{FF2B5EF4-FFF2-40B4-BE49-F238E27FC236}">
              <a16:creationId xmlns:a16="http://schemas.microsoft.com/office/drawing/2014/main" id="{00000000-0008-0000-0900-00001C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81584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198</xdr:row>
      <xdr:rowOff>76200</xdr:rowOff>
    </xdr:from>
    <xdr:to>
      <xdr:col>0</xdr:col>
      <xdr:colOff>1504950</xdr:colOff>
      <xdr:row>201</xdr:row>
      <xdr:rowOff>361950</xdr:rowOff>
    </xdr:to>
    <xdr:pic>
      <xdr:nvPicPr>
        <xdr:cNvPr id="1454877" name="Рисунок 19" descr="SJ-220CE">
          <a:extLst>
            <a:ext uri="{FF2B5EF4-FFF2-40B4-BE49-F238E27FC236}">
              <a16:creationId xmlns:a16="http://schemas.microsoft.com/office/drawing/2014/main" id="{00000000-0008-0000-0900-00001D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13029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202</xdr:row>
      <xdr:rowOff>28575</xdr:rowOff>
    </xdr:from>
    <xdr:to>
      <xdr:col>0</xdr:col>
      <xdr:colOff>1495425</xdr:colOff>
      <xdr:row>205</xdr:row>
      <xdr:rowOff>314325</xdr:rowOff>
    </xdr:to>
    <xdr:pic>
      <xdr:nvPicPr>
        <xdr:cNvPr id="1454878" name="Рисунок 20" descr="SJ-2200CE">
          <a:extLst>
            <a:ext uri="{FF2B5EF4-FFF2-40B4-BE49-F238E27FC236}">
              <a16:creationId xmlns:a16="http://schemas.microsoft.com/office/drawing/2014/main" id="{00000000-0008-0000-0900-00001E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779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218</xdr:row>
      <xdr:rowOff>180975</xdr:rowOff>
    </xdr:from>
    <xdr:to>
      <xdr:col>0</xdr:col>
      <xdr:colOff>1504950</xdr:colOff>
      <xdr:row>222</xdr:row>
      <xdr:rowOff>85725</xdr:rowOff>
    </xdr:to>
    <xdr:pic>
      <xdr:nvPicPr>
        <xdr:cNvPr id="1454879" name="Рисунок 23" descr="CJ-220ER">
          <a:extLst>
            <a:ext uri="{FF2B5EF4-FFF2-40B4-BE49-F238E27FC236}">
              <a16:creationId xmlns:a16="http://schemas.microsoft.com/office/drawing/2014/main" id="{00000000-0008-0000-0900-00001F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78180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222</xdr:row>
      <xdr:rowOff>304800</xdr:rowOff>
    </xdr:from>
    <xdr:to>
      <xdr:col>0</xdr:col>
      <xdr:colOff>1495425</xdr:colOff>
      <xdr:row>226</xdr:row>
      <xdr:rowOff>209550</xdr:rowOff>
    </xdr:to>
    <xdr:pic>
      <xdr:nvPicPr>
        <xdr:cNvPr id="1454880" name="Рисунок 24" descr="CJ-2200ER">
          <a:extLst>
            <a:ext uri="{FF2B5EF4-FFF2-40B4-BE49-F238E27FC236}">
              <a16:creationId xmlns:a16="http://schemas.microsoft.com/office/drawing/2014/main" id="{00000000-0008-0000-0900-000020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9465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246</xdr:row>
      <xdr:rowOff>38100</xdr:rowOff>
    </xdr:from>
    <xdr:to>
      <xdr:col>0</xdr:col>
      <xdr:colOff>1495425</xdr:colOff>
      <xdr:row>252</xdr:row>
      <xdr:rowOff>9525</xdr:rowOff>
    </xdr:to>
    <xdr:pic>
      <xdr:nvPicPr>
        <xdr:cNvPr id="1454881" name="Рисунок 27" descr="HJ-17KSCE">
          <a:extLst>
            <a:ext uri="{FF2B5EF4-FFF2-40B4-BE49-F238E27FC236}">
              <a16:creationId xmlns:a16="http://schemas.microsoft.com/office/drawing/2014/main" id="{00000000-0008-0000-0900-000021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44765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57</xdr:row>
      <xdr:rowOff>57150</xdr:rowOff>
    </xdr:from>
    <xdr:to>
      <xdr:col>0</xdr:col>
      <xdr:colOff>1495425</xdr:colOff>
      <xdr:row>58</xdr:row>
      <xdr:rowOff>723900</xdr:rowOff>
    </xdr:to>
    <xdr:pic>
      <xdr:nvPicPr>
        <xdr:cNvPr id="1454885" name="Рисунок 28" descr="C:\Users\Denis\Desktop\Картинки для сайта\Shinko\Ювелирные весы\CTs.jpg">
          <a:extLst>
            <a:ext uri="{FF2B5EF4-FFF2-40B4-BE49-F238E27FC236}">
              <a16:creationId xmlns:a16="http://schemas.microsoft.com/office/drawing/2014/main" id="{00000000-0008-0000-0900-000025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97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59</xdr:row>
      <xdr:rowOff>38100</xdr:rowOff>
    </xdr:from>
    <xdr:to>
      <xdr:col>0</xdr:col>
      <xdr:colOff>1495425</xdr:colOff>
      <xdr:row>60</xdr:row>
      <xdr:rowOff>704850</xdr:rowOff>
    </xdr:to>
    <xdr:pic>
      <xdr:nvPicPr>
        <xdr:cNvPr id="1454886" name="Рисунок 29" descr="C:\Users\Denis\Desktop\Картинки для сайта\Shinko\Ювелирные весы\CT_vs.jpg">
          <a:extLst>
            <a:ext uri="{FF2B5EF4-FFF2-40B4-BE49-F238E27FC236}">
              <a16:creationId xmlns:a16="http://schemas.microsoft.com/office/drawing/2014/main" id="{00000000-0008-0000-0900-000026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2027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</xdr:row>
      <xdr:rowOff>57150</xdr:rowOff>
    </xdr:from>
    <xdr:to>
      <xdr:col>0</xdr:col>
      <xdr:colOff>1495425</xdr:colOff>
      <xdr:row>2</xdr:row>
      <xdr:rowOff>1485900</xdr:rowOff>
    </xdr:to>
    <xdr:pic>
      <xdr:nvPicPr>
        <xdr:cNvPr id="1454887" name="Рисунок 23" descr="C:\Users\Denis\Desktop\Картинки для сайта\Shinko\Анализатор\MD-83s.jpg">
          <a:extLst>
            <a:ext uri="{FF2B5EF4-FFF2-40B4-BE49-F238E27FC236}">
              <a16:creationId xmlns:a16="http://schemas.microsoft.com/office/drawing/2014/main" id="{00000000-0008-0000-0900-000027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2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</xdr:row>
      <xdr:rowOff>57150</xdr:rowOff>
    </xdr:from>
    <xdr:to>
      <xdr:col>0</xdr:col>
      <xdr:colOff>1495425</xdr:colOff>
      <xdr:row>13</xdr:row>
      <xdr:rowOff>1485900</xdr:rowOff>
    </xdr:to>
    <xdr:pic>
      <xdr:nvPicPr>
        <xdr:cNvPr id="1454888" name="Рисунок 27" descr="C:\Users\Денис\Desktop\Картинки\ViBRA\AF_sm.jpg">
          <a:extLst>
            <a:ext uri="{FF2B5EF4-FFF2-40B4-BE49-F238E27FC236}">
              <a16:creationId xmlns:a16="http://schemas.microsoft.com/office/drawing/2014/main" id="{00000000-0008-0000-0900-000028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3340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</xdr:row>
      <xdr:rowOff>57150</xdr:rowOff>
    </xdr:from>
    <xdr:to>
      <xdr:col>0</xdr:col>
      <xdr:colOff>1495425</xdr:colOff>
      <xdr:row>26</xdr:row>
      <xdr:rowOff>1485900</xdr:rowOff>
    </xdr:to>
    <xdr:pic>
      <xdr:nvPicPr>
        <xdr:cNvPr id="1454889" name="Рисунок 29" descr="C:\Users\Денис\Desktop\Картинки\ViBRA\AF_sm.jpg">
          <a:extLst>
            <a:ext uri="{FF2B5EF4-FFF2-40B4-BE49-F238E27FC236}">
              <a16:creationId xmlns:a16="http://schemas.microsoft.com/office/drawing/2014/main" id="{00000000-0008-0000-0900-000029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67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39</xdr:row>
      <xdr:rowOff>19050</xdr:rowOff>
    </xdr:from>
    <xdr:to>
      <xdr:col>0</xdr:col>
      <xdr:colOff>1495425</xdr:colOff>
      <xdr:row>44</xdr:row>
      <xdr:rowOff>209550</xdr:rowOff>
    </xdr:to>
    <xdr:pic>
      <xdr:nvPicPr>
        <xdr:cNvPr id="1454890" name="Рисунок 8" descr="HT 84CE">
          <a:extLst>
            <a:ext uri="{FF2B5EF4-FFF2-40B4-BE49-F238E27FC236}">
              <a16:creationId xmlns:a16="http://schemas.microsoft.com/office/drawing/2014/main" id="{00000000-0008-0000-0900-00002A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5638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74</xdr:row>
      <xdr:rowOff>38100</xdr:rowOff>
    </xdr:from>
    <xdr:to>
      <xdr:col>0</xdr:col>
      <xdr:colOff>1504950</xdr:colOff>
      <xdr:row>79</xdr:row>
      <xdr:rowOff>228601</xdr:rowOff>
    </xdr:to>
    <xdr:pic>
      <xdr:nvPicPr>
        <xdr:cNvPr id="1454891" name="Рисунок 14" descr="LN 223CE">
          <a:extLst>
            <a:ext uri="{FF2B5EF4-FFF2-40B4-BE49-F238E27FC236}">
              <a16:creationId xmlns:a16="http://schemas.microsoft.com/office/drawing/2014/main" id="{00000000-0008-0000-0900-00002B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7584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81</xdr:row>
      <xdr:rowOff>66675</xdr:rowOff>
    </xdr:from>
    <xdr:to>
      <xdr:col>0</xdr:col>
      <xdr:colOff>1495425</xdr:colOff>
      <xdr:row>87</xdr:row>
      <xdr:rowOff>0</xdr:rowOff>
    </xdr:to>
    <xdr:pic>
      <xdr:nvPicPr>
        <xdr:cNvPr id="1454892" name="Рисунок 15" descr="LN 1202CE">
          <a:extLst>
            <a:ext uri="{FF2B5EF4-FFF2-40B4-BE49-F238E27FC236}">
              <a16:creationId xmlns:a16="http://schemas.microsoft.com/office/drawing/2014/main" id="{00000000-0008-0000-0900-00002C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65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88</xdr:row>
      <xdr:rowOff>95250</xdr:rowOff>
    </xdr:from>
    <xdr:to>
      <xdr:col>0</xdr:col>
      <xdr:colOff>1495425</xdr:colOff>
      <xdr:row>94</xdr:row>
      <xdr:rowOff>38100</xdr:rowOff>
    </xdr:to>
    <xdr:pic>
      <xdr:nvPicPr>
        <xdr:cNvPr id="1454893" name="Рисунок 16" descr="LN 21001CE">
          <a:extLst>
            <a:ext uri="{FF2B5EF4-FFF2-40B4-BE49-F238E27FC236}">
              <a16:creationId xmlns:a16="http://schemas.microsoft.com/office/drawing/2014/main" id="{00000000-0008-0000-0900-00002D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086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179</xdr:row>
      <xdr:rowOff>66675</xdr:rowOff>
    </xdr:from>
    <xdr:to>
      <xdr:col>0</xdr:col>
      <xdr:colOff>1495425</xdr:colOff>
      <xdr:row>183</xdr:row>
      <xdr:rowOff>228600</xdr:rowOff>
    </xdr:to>
    <xdr:pic>
      <xdr:nvPicPr>
        <xdr:cNvPr id="1454894" name="Рисунок 25" descr="D:\С рабочего стола\Картинки для сайта\Shinko\Серия AB\ABs.jpg">
          <a:extLst>
            <a:ext uri="{FF2B5EF4-FFF2-40B4-BE49-F238E27FC236}">
              <a16:creationId xmlns:a16="http://schemas.microsoft.com/office/drawing/2014/main" id="{00000000-0008-0000-0900-00002E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41645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113</xdr:row>
      <xdr:rowOff>57150</xdr:rowOff>
    </xdr:from>
    <xdr:to>
      <xdr:col>0</xdr:col>
      <xdr:colOff>1504950</xdr:colOff>
      <xdr:row>119</xdr:row>
      <xdr:rowOff>19050</xdr:rowOff>
    </xdr:to>
    <xdr:pic>
      <xdr:nvPicPr>
        <xdr:cNvPr id="1454901" name="Рисунок 30" descr="C:\Users\Денис\Desktop\Картинки\ViBRA\ALE_118_sm.jpg">
          <a:extLst>
            <a:ext uri="{FF2B5EF4-FFF2-40B4-BE49-F238E27FC236}">
              <a16:creationId xmlns:a16="http://schemas.microsoft.com/office/drawing/2014/main" id="{00000000-0008-0000-0900-000035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789997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120</xdr:row>
      <xdr:rowOff>152400</xdr:rowOff>
    </xdr:from>
    <xdr:to>
      <xdr:col>0</xdr:col>
      <xdr:colOff>1504950</xdr:colOff>
      <xdr:row>126</xdr:row>
      <xdr:rowOff>114300</xdr:rowOff>
    </xdr:to>
    <xdr:pic>
      <xdr:nvPicPr>
        <xdr:cNvPr id="1454902" name="Рисунок 31" descr="C:\Users\Денис\Desktop\Картинки\ViBRA\ALE_160-180_sm.jpg">
          <a:extLst>
            <a:ext uri="{FF2B5EF4-FFF2-40B4-BE49-F238E27FC236}">
              <a16:creationId xmlns:a16="http://schemas.microsoft.com/office/drawing/2014/main" id="{00000000-0008-0000-0900-0000363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972877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198</xdr:row>
      <xdr:rowOff>76200</xdr:rowOff>
    </xdr:from>
    <xdr:to>
      <xdr:col>0</xdr:col>
      <xdr:colOff>1504950</xdr:colOff>
      <xdr:row>201</xdr:row>
      <xdr:rowOff>361950</xdr:rowOff>
    </xdr:to>
    <xdr:pic>
      <xdr:nvPicPr>
        <xdr:cNvPr id="39" name="Рисунок 19" descr="SJ-220CE">
          <a:extLst>
            <a:ext uri="{FF2B5EF4-FFF2-40B4-BE49-F238E27FC236}">
              <a16:creationId xmlns:a16="http://schemas.microsoft.com/office/drawing/2014/main" id="{41944EAE-91F7-4370-939C-30045C31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95693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202</xdr:row>
      <xdr:rowOff>28575</xdr:rowOff>
    </xdr:from>
    <xdr:to>
      <xdr:col>0</xdr:col>
      <xdr:colOff>1495425</xdr:colOff>
      <xdr:row>205</xdr:row>
      <xdr:rowOff>314325</xdr:rowOff>
    </xdr:to>
    <xdr:pic>
      <xdr:nvPicPr>
        <xdr:cNvPr id="40" name="Рисунок 20" descr="SJ-2200CE">
          <a:extLst>
            <a:ext uri="{FF2B5EF4-FFF2-40B4-BE49-F238E27FC236}">
              <a16:creationId xmlns:a16="http://schemas.microsoft.com/office/drawing/2014/main" id="{DD416113-F04B-453A-9109-55915D49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045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200025</xdr:rowOff>
    </xdr:from>
    <xdr:to>
      <xdr:col>0</xdr:col>
      <xdr:colOff>1504950</xdr:colOff>
      <xdr:row>9</xdr:row>
      <xdr:rowOff>171450</xdr:rowOff>
    </xdr:to>
    <xdr:pic>
      <xdr:nvPicPr>
        <xdr:cNvPr id="1457880" name="Рисунок 15" descr="CAUX-120">
          <a:extLst>
            <a:ext uri="{FF2B5EF4-FFF2-40B4-BE49-F238E27FC236}">
              <a16:creationId xmlns:a16="http://schemas.microsoft.com/office/drawing/2014/main" id="{00000000-0008-0000-0A00-0000D8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09675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41</xdr:row>
      <xdr:rowOff>57150</xdr:rowOff>
    </xdr:from>
    <xdr:to>
      <xdr:col>0</xdr:col>
      <xdr:colOff>1495425</xdr:colOff>
      <xdr:row>44</xdr:row>
      <xdr:rowOff>180975</xdr:rowOff>
    </xdr:to>
    <xdr:pic>
      <xdr:nvPicPr>
        <xdr:cNvPr id="1457881" name="Рисунок 16" descr="MWP-150">
          <a:extLst>
            <a:ext uri="{FF2B5EF4-FFF2-40B4-BE49-F238E27FC236}">
              <a16:creationId xmlns:a16="http://schemas.microsoft.com/office/drawing/2014/main" id="{00000000-0008-0000-0A00-0000D9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0109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44</xdr:row>
      <xdr:rowOff>257175</xdr:rowOff>
    </xdr:from>
    <xdr:to>
      <xdr:col>0</xdr:col>
      <xdr:colOff>1504950</xdr:colOff>
      <xdr:row>47</xdr:row>
      <xdr:rowOff>381000</xdr:rowOff>
    </xdr:to>
    <xdr:pic>
      <xdr:nvPicPr>
        <xdr:cNvPr id="1457882" name="Рисунок 17" descr="MWP-3000">
          <a:extLst>
            <a:ext uri="{FF2B5EF4-FFF2-40B4-BE49-F238E27FC236}">
              <a16:creationId xmlns:a16="http://schemas.microsoft.com/office/drawing/2014/main" id="{00000000-0008-0000-0A00-0000DA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52537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</xdr:row>
      <xdr:rowOff>95250</xdr:rowOff>
    </xdr:from>
    <xdr:to>
      <xdr:col>0</xdr:col>
      <xdr:colOff>1495425</xdr:colOff>
      <xdr:row>26</xdr:row>
      <xdr:rowOff>66675</xdr:rowOff>
    </xdr:to>
    <xdr:pic>
      <xdr:nvPicPr>
        <xdr:cNvPr id="1457883" name="Рисунок 18" descr="CUX-220H">
          <a:extLst>
            <a:ext uri="{FF2B5EF4-FFF2-40B4-BE49-F238E27FC236}">
              <a16:creationId xmlns:a16="http://schemas.microsoft.com/office/drawing/2014/main" id="{00000000-0008-0000-0A00-0000DB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8165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28</xdr:row>
      <xdr:rowOff>161925</xdr:rowOff>
    </xdr:from>
    <xdr:to>
      <xdr:col>0</xdr:col>
      <xdr:colOff>1495425</xdr:colOff>
      <xdr:row>34</xdr:row>
      <xdr:rowOff>123825</xdr:rowOff>
    </xdr:to>
    <xdr:pic>
      <xdr:nvPicPr>
        <xdr:cNvPr id="1457884" name="Рисунок 19" descr="CUX-4200S">
          <a:extLst>
            <a:ext uri="{FF2B5EF4-FFF2-40B4-BE49-F238E27FC236}">
              <a16:creationId xmlns:a16="http://schemas.microsoft.com/office/drawing/2014/main" id="{00000000-0008-0000-0A00-0000DC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952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61</xdr:row>
      <xdr:rowOff>57150</xdr:rowOff>
    </xdr:from>
    <xdr:to>
      <xdr:col>0</xdr:col>
      <xdr:colOff>1495425</xdr:colOff>
      <xdr:row>64</xdr:row>
      <xdr:rowOff>342900</xdr:rowOff>
    </xdr:to>
    <xdr:pic>
      <xdr:nvPicPr>
        <xdr:cNvPr id="1457885" name="Рисунок 20" descr="C:\Users\Denis\Desktop\Картинки для сайта\CAS\CBL.jpg">
          <a:extLst>
            <a:ext uri="{FF2B5EF4-FFF2-40B4-BE49-F238E27FC236}">
              <a16:creationId xmlns:a16="http://schemas.microsoft.com/office/drawing/2014/main" id="{00000000-0008-0000-0A00-0000DD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641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68</xdr:row>
      <xdr:rowOff>85725</xdr:rowOff>
    </xdr:from>
    <xdr:to>
      <xdr:col>0</xdr:col>
      <xdr:colOff>1495425</xdr:colOff>
      <xdr:row>72</xdr:row>
      <xdr:rowOff>247650</xdr:rowOff>
    </xdr:to>
    <xdr:pic>
      <xdr:nvPicPr>
        <xdr:cNvPr id="1457886" name="Рисунок 25" descr="C:\Users\Denis\Desktop\Картинки для сайта\CAS\CBXs.jpg">
          <a:extLst>
            <a:ext uri="{FF2B5EF4-FFF2-40B4-BE49-F238E27FC236}">
              <a16:creationId xmlns:a16="http://schemas.microsoft.com/office/drawing/2014/main" id="{00000000-0008-0000-0A00-0000DE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7264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87</xdr:row>
      <xdr:rowOff>57150</xdr:rowOff>
    </xdr:from>
    <xdr:to>
      <xdr:col>0</xdr:col>
      <xdr:colOff>1495425</xdr:colOff>
      <xdr:row>90</xdr:row>
      <xdr:rowOff>342900</xdr:rowOff>
    </xdr:to>
    <xdr:pic>
      <xdr:nvPicPr>
        <xdr:cNvPr id="1457887" name="Рисунок 27" descr="ED-3H">
          <a:extLst>
            <a:ext uri="{FF2B5EF4-FFF2-40B4-BE49-F238E27FC236}">
              <a16:creationId xmlns:a16="http://schemas.microsoft.com/office/drawing/2014/main" id="{00000000-0008-0000-0A00-0000DF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812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94</xdr:row>
      <xdr:rowOff>133350</xdr:rowOff>
    </xdr:from>
    <xdr:to>
      <xdr:col>0</xdr:col>
      <xdr:colOff>1495425</xdr:colOff>
      <xdr:row>100</xdr:row>
      <xdr:rowOff>104776</xdr:rowOff>
    </xdr:to>
    <xdr:pic>
      <xdr:nvPicPr>
        <xdr:cNvPr id="1457888" name="Рисунок 30" descr="AD-2.5">
          <a:extLst>
            <a:ext uri="{FF2B5EF4-FFF2-40B4-BE49-F238E27FC236}">
              <a16:creationId xmlns:a16="http://schemas.microsoft.com/office/drawing/2014/main" id="{00000000-0008-0000-0A00-0000E0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4226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127</xdr:row>
      <xdr:rowOff>57150</xdr:rowOff>
    </xdr:from>
    <xdr:to>
      <xdr:col>0</xdr:col>
      <xdr:colOff>1495425</xdr:colOff>
      <xdr:row>129</xdr:row>
      <xdr:rowOff>466724</xdr:rowOff>
    </xdr:to>
    <xdr:pic>
      <xdr:nvPicPr>
        <xdr:cNvPr id="1457889" name="Рисунок 32" descr="PW-2H">
          <a:extLst>
            <a:ext uri="{FF2B5EF4-FFF2-40B4-BE49-F238E27FC236}">
              <a16:creationId xmlns:a16="http://schemas.microsoft.com/office/drawing/2014/main" id="{00000000-0008-0000-0A00-0000E1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042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139</xdr:row>
      <xdr:rowOff>114300</xdr:rowOff>
    </xdr:from>
    <xdr:to>
      <xdr:col>0</xdr:col>
      <xdr:colOff>1495425</xdr:colOff>
      <xdr:row>145</xdr:row>
      <xdr:rowOff>85724</xdr:rowOff>
    </xdr:to>
    <xdr:pic>
      <xdr:nvPicPr>
        <xdr:cNvPr id="1457890" name="Рисунок 35" descr="SW-I-2">
          <a:extLst>
            <a:ext uri="{FF2B5EF4-FFF2-40B4-BE49-F238E27FC236}">
              <a16:creationId xmlns:a16="http://schemas.microsoft.com/office/drawing/2014/main" id="{00000000-0008-0000-0A00-0000E2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309675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145</xdr:row>
      <xdr:rowOff>161925</xdr:rowOff>
    </xdr:from>
    <xdr:to>
      <xdr:col>0</xdr:col>
      <xdr:colOff>1495425</xdr:colOff>
      <xdr:row>151</xdr:row>
      <xdr:rowOff>133351</xdr:rowOff>
    </xdr:to>
    <xdr:pic>
      <xdr:nvPicPr>
        <xdr:cNvPr id="1457891" name="Рисунок 36" descr="SW-5W">
          <a:extLst>
            <a:ext uri="{FF2B5EF4-FFF2-40B4-BE49-F238E27FC236}">
              <a16:creationId xmlns:a16="http://schemas.microsoft.com/office/drawing/2014/main" id="{00000000-0008-0000-0A00-0000E3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8432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159</xdr:row>
      <xdr:rowOff>28575</xdr:rowOff>
    </xdr:from>
    <xdr:to>
      <xdr:col>0</xdr:col>
      <xdr:colOff>1495425</xdr:colOff>
      <xdr:row>164</xdr:row>
      <xdr:rowOff>19049</xdr:rowOff>
    </xdr:to>
    <xdr:pic>
      <xdr:nvPicPr>
        <xdr:cNvPr id="1457892" name="Рисунок 39" descr="SWII-2">
          <a:extLst>
            <a:ext uri="{FF2B5EF4-FFF2-40B4-BE49-F238E27FC236}">
              <a16:creationId xmlns:a16="http://schemas.microsoft.com/office/drawing/2014/main" id="{00000000-0008-0000-0A00-0000E4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5674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176</xdr:row>
      <xdr:rowOff>57150</xdr:rowOff>
    </xdr:from>
    <xdr:to>
      <xdr:col>0</xdr:col>
      <xdr:colOff>1495425</xdr:colOff>
      <xdr:row>179</xdr:row>
      <xdr:rowOff>342900</xdr:rowOff>
    </xdr:to>
    <xdr:pic>
      <xdr:nvPicPr>
        <xdr:cNvPr id="1457893" name="Рисунок 41" descr="CS-2.5">
          <a:extLst>
            <a:ext uri="{FF2B5EF4-FFF2-40B4-BE49-F238E27FC236}">
              <a16:creationId xmlns:a16="http://schemas.microsoft.com/office/drawing/2014/main" id="{00000000-0008-0000-0A00-0000E5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453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183</xdr:row>
      <xdr:rowOff>57150</xdr:rowOff>
    </xdr:from>
    <xdr:to>
      <xdr:col>0</xdr:col>
      <xdr:colOff>1495425</xdr:colOff>
      <xdr:row>186</xdr:row>
      <xdr:rowOff>342900</xdr:rowOff>
    </xdr:to>
    <xdr:pic>
      <xdr:nvPicPr>
        <xdr:cNvPr id="1457894" name="Рисунок 43" descr="EC-6">
          <a:extLst>
            <a:ext uri="{FF2B5EF4-FFF2-40B4-BE49-F238E27FC236}">
              <a16:creationId xmlns:a16="http://schemas.microsoft.com/office/drawing/2014/main" id="{00000000-0008-0000-0A00-0000E6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987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196</xdr:row>
      <xdr:rowOff>19050</xdr:rowOff>
    </xdr:from>
    <xdr:to>
      <xdr:col>0</xdr:col>
      <xdr:colOff>1504950</xdr:colOff>
      <xdr:row>201</xdr:row>
      <xdr:rowOff>228600</xdr:rowOff>
    </xdr:to>
    <xdr:pic>
      <xdr:nvPicPr>
        <xdr:cNvPr id="1457895" name="Рисунок 17" descr="BW-60">
          <a:extLst>
            <a:ext uri="{FF2B5EF4-FFF2-40B4-BE49-F238E27FC236}">
              <a16:creationId xmlns:a16="http://schemas.microsoft.com/office/drawing/2014/main" id="{00000000-0008-0000-0A00-0000E7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00712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205</xdr:row>
      <xdr:rowOff>57150</xdr:rowOff>
    </xdr:from>
    <xdr:to>
      <xdr:col>0</xdr:col>
      <xdr:colOff>1495425</xdr:colOff>
      <xdr:row>208</xdr:row>
      <xdr:rowOff>342900</xdr:rowOff>
    </xdr:to>
    <xdr:pic>
      <xdr:nvPicPr>
        <xdr:cNvPr id="1457896" name="Рисунок 19" descr="DL-60">
          <a:extLst>
            <a:ext uri="{FF2B5EF4-FFF2-40B4-BE49-F238E27FC236}">
              <a16:creationId xmlns:a16="http://schemas.microsoft.com/office/drawing/2014/main" id="{00000000-0008-0000-0A00-0000E8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5407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212</xdr:row>
      <xdr:rowOff>57150</xdr:rowOff>
    </xdr:from>
    <xdr:to>
      <xdr:col>0</xdr:col>
      <xdr:colOff>1495425</xdr:colOff>
      <xdr:row>215</xdr:row>
      <xdr:rowOff>342900</xdr:rowOff>
    </xdr:to>
    <xdr:pic>
      <xdr:nvPicPr>
        <xdr:cNvPr id="1457897" name="Рисунок 22" descr="DB-1H 60">
          <a:extLst>
            <a:ext uri="{FF2B5EF4-FFF2-40B4-BE49-F238E27FC236}">
              <a16:creationId xmlns:a16="http://schemas.microsoft.com/office/drawing/2014/main" id="{00000000-0008-0000-0A00-0000E9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0744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219</xdr:row>
      <xdr:rowOff>57150</xdr:rowOff>
    </xdr:from>
    <xdr:to>
      <xdr:col>0</xdr:col>
      <xdr:colOff>1495425</xdr:colOff>
      <xdr:row>220</xdr:row>
      <xdr:rowOff>723900</xdr:rowOff>
    </xdr:to>
    <xdr:pic>
      <xdr:nvPicPr>
        <xdr:cNvPr id="1457898" name="Рисунок 24" descr="DBII-60E">
          <a:extLst>
            <a:ext uri="{FF2B5EF4-FFF2-40B4-BE49-F238E27FC236}">
              <a16:creationId xmlns:a16="http://schemas.microsoft.com/office/drawing/2014/main" id="{00000000-0008-0000-0A00-0000EA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46080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235</xdr:row>
      <xdr:rowOff>57150</xdr:rowOff>
    </xdr:from>
    <xdr:to>
      <xdr:col>0</xdr:col>
      <xdr:colOff>1495425</xdr:colOff>
      <xdr:row>238</xdr:row>
      <xdr:rowOff>342900</xdr:rowOff>
    </xdr:to>
    <xdr:pic>
      <xdr:nvPicPr>
        <xdr:cNvPr id="1457899" name="Рисунок 26" descr="PB-60">
          <a:extLst>
            <a:ext uri="{FF2B5EF4-FFF2-40B4-BE49-F238E27FC236}">
              <a16:creationId xmlns:a16="http://schemas.microsoft.com/office/drawing/2014/main" id="{00000000-0008-0000-0A00-0000EB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1993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242</xdr:row>
      <xdr:rowOff>38100</xdr:rowOff>
    </xdr:from>
    <xdr:to>
      <xdr:col>0</xdr:col>
      <xdr:colOff>1495425</xdr:colOff>
      <xdr:row>245</xdr:row>
      <xdr:rowOff>76201</xdr:rowOff>
    </xdr:to>
    <xdr:pic>
      <xdr:nvPicPr>
        <xdr:cNvPr id="1457900" name="Рисунок 28" descr="C:\Users\Denis\Desktop\Картинки для сайта\CAS\PR.jpg">
          <a:extLst>
            <a:ext uri="{FF2B5EF4-FFF2-40B4-BE49-F238E27FC236}">
              <a16:creationId xmlns:a16="http://schemas.microsoft.com/office/drawing/2014/main" id="{00000000-0008-0000-0A00-0000EC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71397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244</xdr:row>
      <xdr:rowOff>390525</xdr:rowOff>
    </xdr:from>
    <xdr:to>
      <xdr:col>0</xdr:col>
      <xdr:colOff>1495425</xdr:colOff>
      <xdr:row>247</xdr:row>
      <xdr:rowOff>419100</xdr:rowOff>
    </xdr:to>
    <xdr:pic>
      <xdr:nvPicPr>
        <xdr:cNvPr id="1457901" name="Рисунок 29" descr="C:\Users\Denis\Desktop\Картинки для сайта\CAS\PRb.jpg">
          <a:extLst>
            <a:ext uri="{FF2B5EF4-FFF2-40B4-BE49-F238E27FC236}">
              <a16:creationId xmlns:a16="http://schemas.microsoft.com/office/drawing/2014/main" id="{00000000-0008-0000-0A00-0000ED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9998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251</xdr:row>
      <xdr:rowOff>66675</xdr:rowOff>
    </xdr:from>
    <xdr:to>
      <xdr:col>0</xdr:col>
      <xdr:colOff>1495425</xdr:colOff>
      <xdr:row>253</xdr:row>
      <xdr:rowOff>479426</xdr:rowOff>
    </xdr:to>
    <xdr:pic>
      <xdr:nvPicPr>
        <xdr:cNvPr id="1457902" name="Рисунок 25" descr="C:\Users\Denis\Desktop\Картинки для сайта\CAS\ER.jpg">
          <a:extLst>
            <a:ext uri="{FF2B5EF4-FFF2-40B4-BE49-F238E27FC236}">
              <a16:creationId xmlns:a16="http://schemas.microsoft.com/office/drawing/2014/main" id="{00000000-0008-0000-0A00-0000EE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5525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254</xdr:row>
      <xdr:rowOff>28575</xdr:rowOff>
    </xdr:from>
    <xdr:to>
      <xdr:col>0</xdr:col>
      <xdr:colOff>1504950</xdr:colOff>
      <xdr:row>256</xdr:row>
      <xdr:rowOff>441326</xdr:rowOff>
    </xdr:to>
    <xdr:pic>
      <xdr:nvPicPr>
        <xdr:cNvPr id="1457903" name="Рисунок 26" descr="C:\Users\Denis\Desktop\Картинки для сайта\CAS\ER2.jpg">
          <a:extLst>
            <a:ext uri="{FF2B5EF4-FFF2-40B4-BE49-F238E27FC236}">
              <a16:creationId xmlns:a16="http://schemas.microsoft.com/office/drawing/2014/main" id="{00000000-0008-0000-0A00-0000EF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9038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260</xdr:row>
      <xdr:rowOff>38100</xdr:rowOff>
    </xdr:from>
    <xdr:to>
      <xdr:col>0</xdr:col>
      <xdr:colOff>1495425</xdr:colOff>
      <xdr:row>264</xdr:row>
      <xdr:rowOff>200026</xdr:rowOff>
    </xdr:to>
    <xdr:pic>
      <xdr:nvPicPr>
        <xdr:cNvPr id="1457904" name="Рисунок 29" descr="C:\Users\Denis\Desktop\Картинки для сайта\CAS\AP.jpg">
          <a:extLst>
            <a:ext uri="{FF2B5EF4-FFF2-40B4-BE49-F238E27FC236}">
              <a16:creationId xmlns:a16="http://schemas.microsoft.com/office/drawing/2014/main" id="{00000000-0008-0000-0A00-0000F0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15816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265</xdr:row>
      <xdr:rowOff>95250</xdr:rowOff>
    </xdr:from>
    <xdr:to>
      <xdr:col>0</xdr:col>
      <xdr:colOff>1495425</xdr:colOff>
      <xdr:row>269</xdr:row>
      <xdr:rowOff>257175</xdr:rowOff>
    </xdr:to>
    <xdr:pic>
      <xdr:nvPicPr>
        <xdr:cNvPr id="1457905" name="Рисунок 30" descr="C:\Users\Denis\Desktop\Картинки для сайта\CAS\AP2.jpg">
          <a:extLst>
            <a:ext uri="{FF2B5EF4-FFF2-40B4-BE49-F238E27FC236}">
              <a16:creationId xmlns:a16="http://schemas.microsoft.com/office/drawing/2014/main" id="{00000000-0008-0000-0A00-0000F1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2104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291</xdr:row>
      <xdr:rowOff>28575</xdr:rowOff>
    </xdr:from>
    <xdr:to>
      <xdr:col>0</xdr:col>
      <xdr:colOff>1495425</xdr:colOff>
      <xdr:row>295</xdr:row>
      <xdr:rowOff>152401</xdr:rowOff>
    </xdr:to>
    <xdr:pic>
      <xdr:nvPicPr>
        <xdr:cNvPr id="1457906" name="Рисунок 33" descr="C:\Users\Denis\Desktop\Картинки для сайта\CAS\LP.jpg">
          <a:extLst>
            <a:ext uri="{FF2B5EF4-FFF2-40B4-BE49-F238E27FC236}">
              <a16:creationId xmlns:a16="http://schemas.microsoft.com/office/drawing/2014/main" id="{00000000-0008-0000-0A00-0000F2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35355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295</xdr:row>
      <xdr:rowOff>114300</xdr:rowOff>
    </xdr:from>
    <xdr:to>
      <xdr:col>0</xdr:col>
      <xdr:colOff>1504950</xdr:colOff>
      <xdr:row>299</xdr:row>
      <xdr:rowOff>238124</xdr:rowOff>
    </xdr:to>
    <xdr:pic>
      <xdr:nvPicPr>
        <xdr:cNvPr id="1457907" name="Рисунок 34" descr="C:\Users\Denis\Desktop\Картинки для сайта\CAS\LPR.jpg">
          <a:extLst>
            <a:ext uri="{FF2B5EF4-FFF2-40B4-BE49-F238E27FC236}">
              <a16:creationId xmlns:a16="http://schemas.microsoft.com/office/drawing/2014/main" id="{00000000-0008-0000-0A00-0000F3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49166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306</xdr:row>
      <xdr:rowOff>38100</xdr:rowOff>
    </xdr:from>
    <xdr:to>
      <xdr:col>0</xdr:col>
      <xdr:colOff>1495425</xdr:colOff>
      <xdr:row>307</xdr:row>
      <xdr:rowOff>704850</xdr:rowOff>
    </xdr:to>
    <xdr:pic>
      <xdr:nvPicPr>
        <xdr:cNvPr id="1457908" name="Рисунок 36" descr="RW-10P">
          <a:extLst>
            <a:ext uri="{FF2B5EF4-FFF2-40B4-BE49-F238E27FC236}">
              <a16:creationId xmlns:a16="http://schemas.microsoft.com/office/drawing/2014/main" id="{00000000-0008-0000-0A00-0000F4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8212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324</xdr:row>
      <xdr:rowOff>38100</xdr:rowOff>
    </xdr:from>
    <xdr:to>
      <xdr:col>0</xdr:col>
      <xdr:colOff>1495425</xdr:colOff>
      <xdr:row>326</xdr:row>
      <xdr:rowOff>219075</xdr:rowOff>
    </xdr:to>
    <xdr:pic>
      <xdr:nvPicPr>
        <xdr:cNvPr id="1457909" name="Рисунок 39" descr="0.5 THA">
          <a:extLst>
            <a:ext uri="{FF2B5EF4-FFF2-40B4-BE49-F238E27FC236}">
              <a16:creationId xmlns:a16="http://schemas.microsoft.com/office/drawing/2014/main" id="{00000000-0008-0000-0A00-0000F5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526077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326</xdr:row>
      <xdr:rowOff>390525</xdr:rowOff>
    </xdr:from>
    <xdr:to>
      <xdr:col>0</xdr:col>
      <xdr:colOff>1495425</xdr:colOff>
      <xdr:row>328</xdr:row>
      <xdr:rowOff>571500</xdr:rowOff>
    </xdr:to>
    <xdr:pic>
      <xdr:nvPicPr>
        <xdr:cNvPr id="1457910" name="Рисунок 40" descr="1 THA">
          <a:extLst>
            <a:ext uri="{FF2B5EF4-FFF2-40B4-BE49-F238E27FC236}">
              <a16:creationId xmlns:a16="http://schemas.microsoft.com/office/drawing/2014/main" id="{00000000-0008-0000-0A00-0000F6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870500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337</xdr:row>
      <xdr:rowOff>219075</xdr:rowOff>
    </xdr:from>
    <xdr:to>
      <xdr:col>0</xdr:col>
      <xdr:colOff>1485900</xdr:colOff>
      <xdr:row>343</xdr:row>
      <xdr:rowOff>190500</xdr:rowOff>
    </xdr:to>
    <xdr:pic>
      <xdr:nvPicPr>
        <xdr:cNvPr id="1457911" name="Рисунок 43" descr="1 THD с BT">
          <a:extLst>
            <a:ext uri="{FF2B5EF4-FFF2-40B4-BE49-F238E27FC236}">
              <a16:creationId xmlns:a16="http://schemas.microsoft.com/office/drawing/2014/main" id="{00000000-0008-0000-0A00-0000F7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832900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332</xdr:row>
      <xdr:rowOff>38100</xdr:rowOff>
    </xdr:from>
    <xdr:to>
      <xdr:col>0</xdr:col>
      <xdr:colOff>1495425</xdr:colOff>
      <xdr:row>338</xdr:row>
      <xdr:rowOff>9525</xdr:rowOff>
    </xdr:to>
    <xdr:pic>
      <xdr:nvPicPr>
        <xdr:cNvPr id="1457912" name="Рисунок 44" descr="5 THD">
          <a:extLst>
            <a:ext uri="{FF2B5EF4-FFF2-40B4-BE49-F238E27FC236}">
              <a16:creationId xmlns:a16="http://schemas.microsoft.com/office/drawing/2014/main" id="{00000000-0008-0000-0A00-0000F8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413675"/>
          <a:ext cx="14287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76</xdr:row>
      <xdr:rowOff>57150</xdr:rowOff>
    </xdr:from>
    <xdr:to>
      <xdr:col>0</xdr:col>
      <xdr:colOff>1495425</xdr:colOff>
      <xdr:row>77</xdr:row>
      <xdr:rowOff>723900</xdr:rowOff>
    </xdr:to>
    <xdr:pic>
      <xdr:nvPicPr>
        <xdr:cNvPr id="1457913" name="Рисунок 35" descr="C:\Users\Денис\Desktop\Картинки для сайта\CAS\REs.jpg">
          <a:extLst>
            <a:ext uri="{FF2B5EF4-FFF2-40B4-BE49-F238E27FC236}">
              <a16:creationId xmlns:a16="http://schemas.microsoft.com/office/drawing/2014/main" id="{00000000-0008-0000-0A00-0000F9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2791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133</xdr:row>
      <xdr:rowOff>57150</xdr:rowOff>
    </xdr:from>
    <xdr:to>
      <xdr:col>0</xdr:col>
      <xdr:colOff>1495425</xdr:colOff>
      <xdr:row>135</xdr:row>
      <xdr:rowOff>466725</xdr:rowOff>
    </xdr:to>
    <xdr:pic>
      <xdr:nvPicPr>
        <xdr:cNvPr id="1457914" name="Рисунок 37" descr="C:\Users\Денис\Desktop\Картинки для сайта\CAS\FW500s.jpg">
          <a:extLst>
            <a:ext uri="{FF2B5EF4-FFF2-40B4-BE49-F238E27FC236}">
              <a16:creationId xmlns:a16="http://schemas.microsoft.com/office/drawing/2014/main" id="{00000000-0008-0000-0A00-0000FA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7284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190</xdr:row>
      <xdr:rowOff>57150</xdr:rowOff>
    </xdr:from>
    <xdr:to>
      <xdr:col>0</xdr:col>
      <xdr:colOff>1495425</xdr:colOff>
      <xdr:row>192</xdr:row>
      <xdr:rowOff>466725</xdr:rowOff>
    </xdr:to>
    <xdr:pic>
      <xdr:nvPicPr>
        <xdr:cNvPr id="1457915" name="Рисунок 39" descr="C:\Users\Денис\Desktop\Картинки для сайта\CAS\ACs.jpg">
          <a:extLst>
            <a:ext uri="{FF2B5EF4-FFF2-40B4-BE49-F238E27FC236}">
              <a16:creationId xmlns:a16="http://schemas.microsoft.com/office/drawing/2014/main" id="{00000000-0008-0000-0A00-0000FB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45211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224</xdr:row>
      <xdr:rowOff>57150</xdr:rowOff>
    </xdr:from>
    <xdr:to>
      <xdr:col>0</xdr:col>
      <xdr:colOff>1504950</xdr:colOff>
      <xdr:row>227</xdr:row>
      <xdr:rowOff>342900</xdr:rowOff>
    </xdr:to>
    <xdr:pic>
      <xdr:nvPicPr>
        <xdr:cNvPr id="1457916" name="Рисунок 38" descr="C:\Users\Денис\Desktop\Картинки для сайта\CAS\DB-II(W)s.jpg">
          <a:extLst>
            <a:ext uri="{FF2B5EF4-FFF2-40B4-BE49-F238E27FC236}">
              <a16:creationId xmlns:a16="http://schemas.microsoft.com/office/drawing/2014/main" id="{00000000-0008-0000-0A00-0000FC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71417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228</xdr:row>
      <xdr:rowOff>66675</xdr:rowOff>
    </xdr:from>
    <xdr:to>
      <xdr:col>0</xdr:col>
      <xdr:colOff>1495425</xdr:colOff>
      <xdr:row>231</xdr:row>
      <xdr:rowOff>352425</xdr:rowOff>
    </xdr:to>
    <xdr:pic>
      <xdr:nvPicPr>
        <xdr:cNvPr id="1457917" name="Рисунок 39" descr="C:\Users\Денис\Desktop\Картинки для сайта\CAS\DBIIs.jpg">
          <a:extLst>
            <a:ext uri="{FF2B5EF4-FFF2-40B4-BE49-F238E27FC236}">
              <a16:creationId xmlns:a16="http://schemas.microsoft.com/office/drawing/2014/main" id="{00000000-0008-0000-0A00-0000FD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8675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317</xdr:row>
      <xdr:rowOff>57150</xdr:rowOff>
    </xdr:from>
    <xdr:to>
      <xdr:col>0</xdr:col>
      <xdr:colOff>1495425</xdr:colOff>
      <xdr:row>318</xdr:row>
      <xdr:rowOff>723900</xdr:rowOff>
    </xdr:to>
    <xdr:pic>
      <xdr:nvPicPr>
        <xdr:cNvPr id="1457918" name="Рисунок 42" descr="C:\Users\Денис\Desktop\Картинки для сайта\CAS\CPSs.jpg">
          <a:extLst>
            <a:ext uri="{FF2B5EF4-FFF2-40B4-BE49-F238E27FC236}">
              <a16:creationId xmlns:a16="http://schemas.microsoft.com/office/drawing/2014/main" id="{00000000-0008-0000-0A00-0000FE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250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273</xdr:row>
      <xdr:rowOff>52915</xdr:rowOff>
    </xdr:from>
    <xdr:to>
      <xdr:col>0</xdr:col>
      <xdr:colOff>1495425</xdr:colOff>
      <xdr:row>276</xdr:row>
      <xdr:rowOff>338665</xdr:rowOff>
    </xdr:to>
    <xdr:pic>
      <xdr:nvPicPr>
        <xdr:cNvPr id="1457919" name="Рисунок 43" descr="C:\Users\Денис\Desktop\Картинки для сайта\CAS\CL5000-15B-TCP-IPs.jpg">
          <a:extLst>
            <a:ext uri="{FF2B5EF4-FFF2-40B4-BE49-F238E27FC236}">
              <a16:creationId xmlns:a16="http://schemas.microsoft.com/office/drawing/2014/main" id="{00000000-0008-0000-0A00-0000FF3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7058498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276</xdr:row>
      <xdr:rowOff>126975</xdr:rowOff>
    </xdr:from>
    <xdr:to>
      <xdr:col>0</xdr:col>
      <xdr:colOff>1495425</xdr:colOff>
      <xdr:row>280</xdr:row>
      <xdr:rowOff>31725</xdr:rowOff>
    </xdr:to>
    <xdr:pic>
      <xdr:nvPicPr>
        <xdr:cNvPr id="1457920" name="Рисунок 44" descr="C:\Users\Денис\Desktop\Картинки для сайта\CAS\CL5000-15P-TCP-IPs.jpg">
          <a:extLst>
            <a:ext uri="{FF2B5EF4-FFF2-40B4-BE49-F238E27FC236}">
              <a16:creationId xmlns:a16="http://schemas.microsoft.com/office/drawing/2014/main" id="{00000000-0008-0000-0A00-0000003F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275558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280</xdr:row>
      <xdr:rowOff>48662</xdr:rowOff>
    </xdr:from>
    <xdr:to>
      <xdr:col>0</xdr:col>
      <xdr:colOff>1495425</xdr:colOff>
      <xdr:row>283</xdr:row>
      <xdr:rowOff>334412</xdr:rowOff>
    </xdr:to>
    <xdr:pic>
      <xdr:nvPicPr>
        <xdr:cNvPr id="1457921" name="Рисунок 45" descr="C:\Users\Денис\Desktop\Картинки для сайта\CAS\CL5000-15H-TCP-IPs.jpg">
          <a:extLst>
            <a:ext uri="{FF2B5EF4-FFF2-40B4-BE49-F238E27FC236}">
              <a16:creationId xmlns:a16="http://schemas.microsoft.com/office/drawing/2014/main" id="{00000000-0008-0000-0A00-0000013F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72124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163</xdr:row>
      <xdr:rowOff>209550</xdr:rowOff>
    </xdr:from>
    <xdr:to>
      <xdr:col>0</xdr:col>
      <xdr:colOff>1495425</xdr:colOff>
      <xdr:row>168</xdr:row>
      <xdr:rowOff>209550</xdr:rowOff>
    </xdr:to>
    <xdr:pic>
      <xdr:nvPicPr>
        <xdr:cNvPr id="1457923" name="Рисунок 44" descr="C:\Users\Денис\Desktop\Картинки для сайта\CAS\SWII-Ps.jpg">
          <a:extLst>
            <a:ext uri="{FF2B5EF4-FFF2-40B4-BE49-F238E27FC236}">
              <a16:creationId xmlns:a16="http://schemas.microsoft.com/office/drawing/2014/main" id="{00000000-0008-0000-0A00-0000033F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58914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51</xdr:row>
      <xdr:rowOff>28575</xdr:rowOff>
    </xdr:from>
    <xdr:to>
      <xdr:col>0</xdr:col>
      <xdr:colOff>1504950</xdr:colOff>
      <xdr:row>55</xdr:row>
      <xdr:rowOff>190500</xdr:rowOff>
    </xdr:to>
    <xdr:pic>
      <xdr:nvPicPr>
        <xdr:cNvPr id="1457924" name="Рисунок 46" descr="C:\Users\Денис\Desktop\Картинки для сайта\CAS\XE_krs.jpg">
          <a:extLst>
            <a:ext uri="{FF2B5EF4-FFF2-40B4-BE49-F238E27FC236}">
              <a16:creationId xmlns:a16="http://schemas.microsoft.com/office/drawing/2014/main" id="{00000000-0008-0000-0A00-0000043F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0590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67236</xdr:colOff>
      <xdr:row>105</xdr:row>
      <xdr:rowOff>168083</xdr:rowOff>
    </xdr:from>
    <xdr:to>
      <xdr:col>0</xdr:col>
      <xdr:colOff>1495986</xdr:colOff>
      <xdr:row>111</xdr:row>
      <xdr:rowOff>117657</xdr:rowOff>
    </xdr:to>
    <xdr:pic>
      <xdr:nvPicPr>
        <xdr:cNvPr id="47" name="Рисунок 46" descr="D:\Картинки для сайта\Картинки\CAS\SWNs.jpg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/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3238499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67236</xdr:colOff>
      <xdr:row>112</xdr:row>
      <xdr:rowOff>134473</xdr:rowOff>
    </xdr:from>
    <xdr:to>
      <xdr:col>0</xdr:col>
      <xdr:colOff>1495986</xdr:colOff>
      <xdr:row>118</xdr:row>
      <xdr:rowOff>84047</xdr:rowOff>
    </xdr:to>
    <xdr:pic>
      <xdr:nvPicPr>
        <xdr:cNvPr id="48" name="Рисунок 47" descr="D:\Картинки для сайта\Картинки\CAS\SWN_DDs.jpg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/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34077091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67236</xdr:colOff>
      <xdr:row>81</xdr:row>
      <xdr:rowOff>44824</xdr:rowOff>
    </xdr:from>
    <xdr:to>
      <xdr:col>0</xdr:col>
      <xdr:colOff>1495986</xdr:colOff>
      <xdr:row>83</xdr:row>
      <xdr:rowOff>465045</xdr:rowOff>
    </xdr:to>
    <xdr:pic>
      <xdr:nvPicPr>
        <xdr:cNvPr id="50" name="Рисунок 49" descr="D:\Картинки для сайта\Картинки\CAS\PDCs.jpg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/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2598644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</xdr:row>
      <xdr:rowOff>19050</xdr:rowOff>
    </xdr:from>
    <xdr:to>
      <xdr:col>0</xdr:col>
      <xdr:colOff>1495425</xdr:colOff>
      <xdr:row>8</xdr:row>
      <xdr:rowOff>228600</xdr:rowOff>
    </xdr:to>
    <xdr:pic>
      <xdr:nvPicPr>
        <xdr:cNvPr id="1368808" name="Рисунок 20" descr="HCB-3001">
          <a:extLst>
            <a:ext uri="{FF2B5EF4-FFF2-40B4-BE49-F238E27FC236}">
              <a16:creationId xmlns:a16="http://schemas.microsoft.com/office/drawing/2014/main" id="{00000000-0008-0000-0B00-0000E8E2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2525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63498</xdr:colOff>
      <xdr:row>13</xdr:row>
      <xdr:rowOff>52915</xdr:rowOff>
    </xdr:from>
    <xdr:to>
      <xdr:col>0</xdr:col>
      <xdr:colOff>1492248</xdr:colOff>
      <xdr:row>15</xdr:row>
      <xdr:rowOff>465665</xdr:rowOff>
    </xdr:to>
    <xdr:pic>
      <xdr:nvPicPr>
        <xdr:cNvPr id="3" name="Рисунок 2" descr="D:\Картинки для сайта\Картинки\ADAM\PMBs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4021665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28575</xdr:rowOff>
    </xdr:from>
    <xdr:to>
      <xdr:col>0</xdr:col>
      <xdr:colOff>1495425</xdr:colOff>
      <xdr:row>4</xdr:row>
      <xdr:rowOff>447675</xdr:rowOff>
    </xdr:to>
    <xdr:pic>
      <xdr:nvPicPr>
        <xdr:cNvPr id="1429184" name="Рисунок 3" descr="JW-1-200">
          <a:extLst>
            <a:ext uri="{FF2B5EF4-FFF2-40B4-BE49-F238E27FC236}">
              <a16:creationId xmlns:a16="http://schemas.microsoft.com/office/drawing/2014/main" id="{00000000-0008-0000-0C00-0000C0CE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14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66675</xdr:rowOff>
    </xdr:from>
    <xdr:to>
      <xdr:col>0</xdr:col>
      <xdr:colOff>1504950</xdr:colOff>
      <xdr:row>7</xdr:row>
      <xdr:rowOff>476250</xdr:rowOff>
    </xdr:to>
    <xdr:pic>
      <xdr:nvPicPr>
        <xdr:cNvPr id="1429185" name="Рисунок 4" descr="JW-1-2000">
          <a:extLst>
            <a:ext uri="{FF2B5EF4-FFF2-40B4-BE49-F238E27FC236}">
              <a16:creationId xmlns:a16="http://schemas.microsoft.com/office/drawing/2014/main" id="{00000000-0008-0000-0C00-0000C1CE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4669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</xdr:row>
      <xdr:rowOff>19050</xdr:rowOff>
    </xdr:from>
    <xdr:to>
      <xdr:col>0</xdr:col>
      <xdr:colOff>1495425</xdr:colOff>
      <xdr:row>15</xdr:row>
      <xdr:rowOff>685800</xdr:rowOff>
    </xdr:to>
    <xdr:pic>
      <xdr:nvPicPr>
        <xdr:cNvPr id="1429186" name="Рисунок 7" descr="JW-1C-200">
          <a:extLst>
            <a:ext uri="{FF2B5EF4-FFF2-40B4-BE49-F238E27FC236}">
              <a16:creationId xmlns:a16="http://schemas.microsoft.com/office/drawing/2014/main" id="{00000000-0008-0000-0C00-0000C2CE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810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16</xdr:row>
      <xdr:rowOff>66675</xdr:rowOff>
    </xdr:from>
    <xdr:to>
      <xdr:col>0</xdr:col>
      <xdr:colOff>1504950</xdr:colOff>
      <xdr:row>17</xdr:row>
      <xdr:rowOff>733425</xdr:rowOff>
    </xdr:to>
    <xdr:pic>
      <xdr:nvPicPr>
        <xdr:cNvPr id="1429187" name="Рисунок 8" descr="JW-1C-1000">
          <a:extLst>
            <a:ext uri="{FF2B5EF4-FFF2-40B4-BE49-F238E27FC236}">
              <a16:creationId xmlns:a16="http://schemas.microsoft.com/office/drawing/2014/main" id="{00000000-0008-0000-0C00-0000C3CE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381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</xdr:row>
      <xdr:rowOff>57150</xdr:rowOff>
    </xdr:from>
    <xdr:to>
      <xdr:col>0</xdr:col>
      <xdr:colOff>1495425</xdr:colOff>
      <xdr:row>26</xdr:row>
      <xdr:rowOff>342900</xdr:rowOff>
    </xdr:to>
    <xdr:pic>
      <xdr:nvPicPr>
        <xdr:cNvPr id="1429188" name="Рисунок 22" descr="C:\Users\Denis\Desktop\Картинки для сайта\Acom\AC-100.jpg">
          <a:extLst>
            <a:ext uri="{FF2B5EF4-FFF2-40B4-BE49-F238E27FC236}">
              <a16:creationId xmlns:a16="http://schemas.microsoft.com/office/drawing/2014/main" id="{00000000-0008-0000-0C00-0000C4CE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01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57150</xdr:rowOff>
    </xdr:from>
    <xdr:to>
      <xdr:col>0</xdr:col>
      <xdr:colOff>1495425</xdr:colOff>
      <xdr:row>2</xdr:row>
      <xdr:rowOff>1485900</xdr:rowOff>
    </xdr:to>
    <xdr:pic>
      <xdr:nvPicPr>
        <xdr:cNvPr id="1421127" name="Рисунок 26" descr="MA-35">
          <a:extLst>
            <a:ext uri="{FF2B5EF4-FFF2-40B4-BE49-F238E27FC236}">
              <a16:creationId xmlns:a16="http://schemas.microsoft.com/office/drawing/2014/main" id="{00000000-0008-0000-0D00-000047AF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191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57150</xdr:rowOff>
    </xdr:from>
    <xdr:to>
      <xdr:col>0</xdr:col>
      <xdr:colOff>1504950</xdr:colOff>
      <xdr:row>3</xdr:row>
      <xdr:rowOff>1485900</xdr:rowOff>
    </xdr:to>
    <xdr:pic>
      <xdr:nvPicPr>
        <xdr:cNvPr id="1421128" name="Рисунок 27" descr="MA-150">
          <a:extLst>
            <a:ext uri="{FF2B5EF4-FFF2-40B4-BE49-F238E27FC236}">
              <a16:creationId xmlns:a16="http://schemas.microsoft.com/office/drawing/2014/main" id="{00000000-0008-0000-0D00-000048AF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228594</xdr:rowOff>
    </xdr:from>
    <xdr:to>
      <xdr:col>0</xdr:col>
      <xdr:colOff>1495425</xdr:colOff>
      <xdr:row>7</xdr:row>
      <xdr:rowOff>76194</xdr:rowOff>
    </xdr:to>
    <xdr:pic>
      <xdr:nvPicPr>
        <xdr:cNvPr id="2" name="Рисунок 5" descr="C:\Users\Денис\Desktop\Картинки для сайта\МАССЦентр\MSCs.jp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17594"/>
          <a:ext cx="1428750" cy="143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57150</xdr:rowOff>
    </xdr:from>
    <xdr:to>
      <xdr:col>0</xdr:col>
      <xdr:colOff>1495425</xdr:colOff>
      <xdr:row>13</xdr:row>
      <xdr:rowOff>466725</xdr:rowOff>
    </xdr:to>
    <xdr:pic>
      <xdr:nvPicPr>
        <xdr:cNvPr id="3" name="Рисунок 6" descr="C:\Users\Денис\Desktop\Картинки для сайта\МАССЦентр\MSC-Ds.jp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909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17</xdr:row>
      <xdr:rowOff>57150</xdr:rowOff>
    </xdr:from>
    <xdr:to>
      <xdr:col>0</xdr:col>
      <xdr:colOff>1495425</xdr:colOff>
      <xdr:row>19</xdr:row>
      <xdr:rowOff>466725</xdr:rowOff>
    </xdr:to>
    <xdr:pic>
      <xdr:nvPicPr>
        <xdr:cNvPr id="4" name="Рисунок 8" descr="C:\Users\Денис\Desktop\Картинки для сайта\МАССЦентр\MSs.jp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388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</xdr:row>
      <xdr:rowOff>57150</xdr:rowOff>
    </xdr:from>
    <xdr:to>
      <xdr:col>0</xdr:col>
      <xdr:colOff>1495425</xdr:colOff>
      <xdr:row>26</xdr:row>
      <xdr:rowOff>342900</xdr:rowOff>
    </xdr:to>
    <xdr:pic>
      <xdr:nvPicPr>
        <xdr:cNvPr id="5" name="Рисунок 10" descr="C:\Users\Денис\Desktop\Картинки для сайта\МАССЦентр\MSWEs.jp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86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44</xdr:row>
      <xdr:rowOff>57150</xdr:rowOff>
    </xdr:from>
    <xdr:to>
      <xdr:col>0</xdr:col>
      <xdr:colOff>1495425</xdr:colOff>
      <xdr:row>46</xdr:row>
      <xdr:rowOff>466725</xdr:rowOff>
    </xdr:to>
    <xdr:pic>
      <xdr:nvPicPr>
        <xdr:cNvPr id="6" name="Рисунок 13" descr="C:\Users\Денис\Desktop\Картинки для сайта\МАССЦентр\MC2s.jpg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017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50</xdr:row>
      <xdr:rowOff>57150</xdr:rowOff>
    </xdr:from>
    <xdr:to>
      <xdr:col>0</xdr:col>
      <xdr:colOff>1495425</xdr:colOff>
      <xdr:row>52</xdr:row>
      <xdr:rowOff>466725</xdr:rowOff>
    </xdr:to>
    <xdr:pic>
      <xdr:nvPicPr>
        <xdr:cNvPr id="7" name="Рисунок 16" descr="C:\Users\Денис\Desktop\Картинки для сайта\МАССЦентр\MR1s.jpg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8497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56</xdr:row>
      <xdr:rowOff>57150</xdr:rowOff>
    </xdr:from>
    <xdr:to>
      <xdr:col>0</xdr:col>
      <xdr:colOff>1495425</xdr:colOff>
      <xdr:row>58</xdr:row>
      <xdr:rowOff>466725</xdr:rowOff>
    </xdr:to>
    <xdr:pic>
      <xdr:nvPicPr>
        <xdr:cNvPr id="8" name="Рисунок 18" descr="C:\Users\Денис\Desktop\Картинки для сайта\МАССЦентр\MR1-Ps.jpg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4976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62</xdr:row>
      <xdr:rowOff>57150</xdr:rowOff>
    </xdr:from>
    <xdr:to>
      <xdr:col>0</xdr:col>
      <xdr:colOff>1495425</xdr:colOff>
      <xdr:row>66</xdr:row>
      <xdr:rowOff>123826</xdr:rowOff>
    </xdr:to>
    <xdr:pic>
      <xdr:nvPicPr>
        <xdr:cNvPr id="9" name="Рисунок 20" descr="C:\Users\Денис\Desktop\Картинки для сайта\МАССЦентр\PM1Es.jpg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145625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66</xdr:row>
      <xdr:rowOff>200025</xdr:rowOff>
    </xdr:from>
    <xdr:to>
      <xdr:col>0</xdr:col>
      <xdr:colOff>1504950</xdr:colOff>
      <xdr:row>70</xdr:row>
      <xdr:rowOff>276225</xdr:rowOff>
    </xdr:to>
    <xdr:pic>
      <xdr:nvPicPr>
        <xdr:cNvPr id="10" name="Рисунок 21" descr="C:\Users\Денис\Desktop\Картинки для сайта\МАССЦентр\PM1Ets.jpg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6601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30</xdr:row>
      <xdr:rowOff>57150</xdr:rowOff>
    </xdr:from>
    <xdr:to>
      <xdr:col>0</xdr:col>
      <xdr:colOff>1495425</xdr:colOff>
      <xdr:row>33</xdr:row>
      <xdr:rowOff>342900</xdr:rowOff>
    </xdr:to>
    <xdr:pic>
      <xdr:nvPicPr>
        <xdr:cNvPr id="11" name="Рисунок 22" descr="C:\Users\Денис\Desktop\Картинки для сайта\МАССЦентр\MSWE-Ds.jpg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44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76</xdr:row>
      <xdr:rowOff>38100</xdr:rowOff>
    </xdr:from>
    <xdr:to>
      <xdr:col>0</xdr:col>
      <xdr:colOff>1495425</xdr:colOff>
      <xdr:row>80</xdr:row>
      <xdr:rowOff>114301</xdr:rowOff>
    </xdr:to>
    <xdr:pic>
      <xdr:nvPicPr>
        <xdr:cNvPr id="12" name="Рисунок 13" descr="C:\Users\Денис\Desktop\Картинки для сайта\МАССЦентр\PM1Bs.jpg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4145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80</xdr:row>
      <xdr:rowOff>209550</xdr:rowOff>
    </xdr:from>
    <xdr:to>
      <xdr:col>0</xdr:col>
      <xdr:colOff>1495425</xdr:colOff>
      <xdr:row>84</xdr:row>
      <xdr:rowOff>285750</xdr:rowOff>
    </xdr:to>
    <xdr:pic>
      <xdr:nvPicPr>
        <xdr:cNvPr id="13" name="Рисунок 14" descr="C:\Users\Денис\Desktop\Картинки для сайта\МАССЦентр\PM1Bts.jpg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84500"/>
          <a:ext cx="14287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90</xdr:row>
      <xdr:rowOff>57150</xdr:rowOff>
    </xdr:from>
    <xdr:to>
      <xdr:col>0</xdr:col>
      <xdr:colOff>1495425</xdr:colOff>
      <xdr:row>92</xdr:row>
      <xdr:rowOff>466725</xdr:rowOff>
    </xdr:to>
    <xdr:pic>
      <xdr:nvPicPr>
        <xdr:cNvPr id="14" name="Рисунок 17" descr="C:\Users\Денис\Desktop\Картинки для сайта\МАССЦентр\PM1Hs.jpg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53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93</xdr:row>
      <xdr:rowOff>38100</xdr:rowOff>
    </xdr:from>
    <xdr:to>
      <xdr:col>0</xdr:col>
      <xdr:colOff>1495425</xdr:colOff>
      <xdr:row>95</xdr:row>
      <xdr:rowOff>457200</xdr:rowOff>
    </xdr:to>
    <xdr:pic>
      <xdr:nvPicPr>
        <xdr:cNvPr id="15" name="Рисунок 18" descr="C:\Users\Денис\Desktop\Картинки для сайта\МАССЦентр\PM1Hts.jpg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70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63498</xdr:colOff>
      <xdr:row>37</xdr:row>
      <xdr:rowOff>158749</xdr:rowOff>
    </xdr:from>
    <xdr:to>
      <xdr:col>0</xdr:col>
      <xdr:colOff>1492248</xdr:colOff>
      <xdr:row>40</xdr:row>
      <xdr:rowOff>285749</xdr:rowOff>
    </xdr:to>
    <xdr:pic>
      <xdr:nvPicPr>
        <xdr:cNvPr id="17" name="Рисунок 16" descr="D:\Картинки для сайта\Картинки\МАСС\MSW_s.jpg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14329832"/>
          <a:ext cx="142875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57150</xdr:rowOff>
    </xdr:from>
    <xdr:to>
      <xdr:col>0</xdr:col>
      <xdr:colOff>1504950</xdr:colOff>
      <xdr:row>3</xdr:row>
      <xdr:rowOff>723900</xdr:rowOff>
    </xdr:to>
    <xdr:pic>
      <xdr:nvPicPr>
        <xdr:cNvPr id="1423173" name="Рисунок 21" descr="СЕ 124-С">
          <a:extLst>
            <a:ext uri="{FF2B5EF4-FFF2-40B4-BE49-F238E27FC236}">
              <a16:creationId xmlns:a16="http://schemas.microsoft.com/office/drawing/2014/main" id="{00000000-0008-0000-0F00-000045B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7338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7</xdr:row>
      <xdr:rowOff>38100</xdr:rowOff>
    </xdr:from>
    <xdr:to>
      <xdr:col>0</xdr:col>
      <xdr:colOff>1495425</xdr:colOff>
      <xdr:row>10</xdr:row>
      <xdr:rowOff>323850</xdr:rowOff>
    </xdr:to>
    <xdr:pic>
      <xdr:nvPicPr>
        <xdr:cNvPr id="1423174" name="Рисунок 22" descr="СЕ 323-С">
          <a:extLst>
            <a:ext uri="{FF2B5EF4-FFF2-40B4-BE49-F238E27FC236}">
              <a16:creationId xmlns:a16="http://schemas.microsoft.com/office/drawing/2014/main" id="{00000000-0008-0000-0F00-000046B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484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</xdr:row>
      <xdr:rowOff>381000</xdr:rowOff>
    </xdr:from>
    <xdr:to>
      <xdr:col>0</xdr:col>
      <xdr:colOff>1495425</xdr:colOff>
      <xdr:row>14</xdr:row>
      <xdr:rowOff>285750</xdr:rowOff>
    </xdr:to>
    <xdr:pic>
      <xdr:nvPicPr>
        <xdr:cNvPr id="1423175" name="Рисунок 23" descr="СЕ 612-С">
          <a:extLst>
            <a:ext uri="{FF2B5EF4-FFF2-40B4-BE49-F238E27FC236}">
              <a16:creationId xmlns:a16="http://schemas.microsoft.com/office/drawing/2014/main" id="{00000000-0008-0000-0F00-000047B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343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</xdr:row>
      <xdr:rowOff>28575</xdr:rowOff>
    </xdr:from>
    <xdr:to>
      <xdr:col>0</xdr:col>
      <xdr:colOff>1495425</xdr:colOff>
      <xdr:row>18</xdr:row>
      <xdr:rowOff>314325</xdr:rowOff>
    </xdr:to>
    <xdr:pic>
      <xdr:nvPicPr>
        <xdr:cNvPr id="1423176" name="Рисунок 24" descr="СЕ 6101-С">
          <a:extLst>
            <a:ext uri="{FF2B5EF4-FFF2-40B4-BE49-F238E27FC236}">
              <a16:creationId xmlns:a16="http://schemas.microsoft.com/office/drawing/2014/main" id="{00000000-0008-0000-0F00-000048B7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868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38100</xdr:rowOff>
    </xdr:from>
    <xdr:to>
      <xdr:col>0</xdr:col>
      <xdr:colOff>1495425</xdr:colOff>
      <xdr:row>6</xdr:row>
      <xdr:rowOff>209550</xdr:rowOff>
    </xdr:to>
    <xdr:pic>
      <xdr:nvPicPr>
        <xdr:cNvPr id="1447560" name="Рисунок 13" descr="ВМ-153">
          <a:extLst>
            <a:ext uri="{FF2B5EF4-FFF2-40B4-BE49-F238E27FC236}">
              <a16:creationId xmlns:a16="http://schemas.microsoft.com/office/drawing/2014/main" id="{00000000-0008-0000-1000-000088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001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</xdr:row>
      <xdr:rowOff>295275</xdr:rowOff>
    </xdr:from>
    <xdr:to>
      <xdr:col>0</xdr:col>
      <xdr:colOff>1495425</xdr:colOff>
      <xdr:row>10</xdr:row>
      <xdr:rowOff>152400</xdr:rowOff>
    </xdr:to>
    <xdr:pic>
      <xdr:nvPicPr>
        <xdr:cNvPr id="1447561" name="Рисунок 14" descr="ВМ-512">
          <a:extLst>
            <a:ext uri="{FF2B5EF4-FFF2-40B4-BE49-F238E27FC236}">
              <a16:creationId xmlns:a16="http://schemas.microsoft.com/office/drawing/2014/main" id="{00000000-0008-0000-1000-000089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0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180975</xdr:rowOff>
    </xdr:from>
    <xdr:to>
      <xdr:col>0</xdr:col>
      <xdr:colOff>1504950</xdr:colOff>
      <xdr:row>14</xdr:row>
      <xdr:rowOff>38100</xdr:rowOff>
    </xdr:to>
    <xdr:pic>
      <xdr:nvPicPr>
        <xdr:cNvPr id="1447562" name="Рисунок 15" descr="ВМ-5101">
          <a:extLst>
            <a:ext uri="{FF2B5EF4-FFF2-40B4-BE49-F238E27FC236}">
              <a16:creationId xmlns:a16="http://schemas.microsoft.com/office/drawing/2014/main" id="{00000000-0008-0000-1000-00008A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432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</xdr:row>
      <xdr:rowOff>133350</xdr:rowOff>
    </xdr:from>
    <xdr:to>
      <xdr:col>0</xdr:col>
      <xdr:colOff>1504950</xdr:colOff>
      <xdr:row>18</xdr:row>
      <xdr:rowOff>295275</xdr:rowOff>
    </xdr:to>
    <xdr:pic>
      <xdr:nvPicPr>
        <xdr:cNvPr id="1447563" name="Рисунок 16" descr="ВМ-6101">
          <a:extLst>
            <a:ext uri="{FF2B5EF4-FFF2-40B4-BE49-F238E27FC236}">
              <a16:creationId xmlns:a16="http://schemas.microsoft.com/office/drawing/2014/main" id="{00000000-0008-0000-1000-00008B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35292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</xdr:row>
      <xdr:rowOff>38100</xdr:rowOff>
    </xdr:from>
    <xdr:to>
      <xdr:col>0</xdr:col>
      <xdr:colOff>1495425</xdr:colOff>
      <xdr:row>25</xdr:row>
      <xdr:rowOff>339725</xdr:rowOff>
    </xdr:to>
    <xdr:pic>
      <xdr:nvPicPr>
        <xdr:cNvPr id="1447564" name="Рисунок 9" descr="ВМ-153">
          <a:extLst>
            <a:ext uri="{FF2B5EF4-FFF2-40B4-BE49-F238E27FC236}">
              <a16:creationId xmlns:a16="http://schemas.microsoft.com/office/drawing/2014/main" id="{00000000-0008-0000-1000-00008C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57017"/>
          <a:ext cx="1428750" cy="144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25</xdr:row>
      <xdr:rowOff>205312</xdr:rowOff>
    </xdr:from>
    <xdr:to>
      <xdr:col>0</xdr:col>
      <xdr:colOff>1504950</xdr:colOff>
      <xdr:row>29</xdr:row>
      <xdr:rowOff>119587</xdr:rowOff>
    </xdr:to>
    <xdr:pic>
      <xdr:nvPicPr>
        <xdr:cNvPr id="1447566" name="Рисунок 11" descr="ВМ-5101">
          <a:extLst>
            <a:ext uri="{FF2B5EF4-FFF2-40B4-BE49-F238E27FC236}">
              <a16:creationId xmlns:a16="http://schemas.microsoft.com/office/drawing/2014/main" id="{00000000-0008-0000-1000-00008E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6729"/>
          <a:ext cx="14287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14822</xdr:rowOff>
    </xdr:from>
    <xdr:to>
      <xdr:col>0</xdr:col>
      <xdr:colOff>1504950</xdr:colOff>
      <xdr:row>32</xdr:row>
      <xdr:rowOff>306922</xdr:rowOff>
    </xdr:to>
    <xdr:pic>
      <xdr:nvPicPr>
        <xdr:cNvPr id="1447567" name="Рисунок 12" descr="ВМ-6101">
          <a:extLst>
            <a:ext uri="{FF2B5EF4-FFF2-40B4-BE49-F238E27FC236}">
              <a16:creationId xmlns:a16="http://schemas.microsoft.com/office/drawing/2014/main" id="{00000000-0008-0000-1000-00008F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656239"/>
          <a:ext cx="1428750" cy="143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39</xdr:row>
      <xdr:rowOff>158744</xdr:rowOff>
    </xdr:from>
    <xdr:to>
      <xdr:col>0</xdr:col>
      <xdr:colOff>1495425</xdr:colOff>
      <xdr:row>43</xdr:row>
      <xdr:rowOff>296327</xdr:rowOff>
    </xdr:to>
    <xdr:pic>
      <xdr:nvPicPr>
        <xdr:cNvPr id="1447568" name="Рисунок 6" descr="C:\Users\Denis\Desktop\Картинки для сайта\Веста\AB.jpg">
          <a:extLst>
            <a:ext uri="{FF2B5EF4-FFF2-40B4-BE49-F238E27FC236}">
              <a16:creationId xmlns:a16="http://schemas.microsoft.com/office/drawing/2014/main" id="{00000000-0008-0000-1000-000090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07577"/>
          <a:ext cx="1428750" cy="1407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51</xdr:row>
      <xdr:rowOff>57150</xdr:rowOff>
    </xdr:from>
    <xdr:to>
      <xdr:col>0</xdr:col>
      <xdr:colOff>1495425</xdr:colOff>
      <xdr:row>54</xdr:row>
      <xdr:rowOff>342900</xdr:rowOff>
    </xdr:to>
    <xdr:pic>
      <xdr:nvPicPr>
        <xdr:cNvPr id="1447569" name="Рисунок 7" descr="C:\Users\Denis\Desktop\Картинки для сайта\Веста\AB.jpg">
          <a:extLst>
            <a:ext uri="{FF2B5EF4-FFF2-40B4-BE49-F238E27FC236}">
              <a16:creationId xmlns:a16="http://schemas.microsoft.com/office/drawing/2014/main" id="{00000000-0008-0000-1000-0000911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706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228600</xdr:rowOff>
    </xdr:from>
    <xdr:to>
      <xdr:col>0</xdr:col>
      <xdr:colOff>1504950</xdr:colOff>
      <xdr:row>7</xdr:row>
      <xdr:rowOff>76200</xdr:rowOff>
    </xdr:to>
    <xdr:pic>
      <xdr:nvPicPr>
        <xdr:cNvPr id="1378024" name="Рисунок 31" descr="СКЕ 60-4050">
          <a:extLst>
            <a:ext uri="{FF2B5EF4-FFF2-40B4-BE49-F238E27FC236}">
              <a16:creationId xmlns:a16="http://schemas.microsoft.com/office/drawing/2014/main" id="{00000000-0008-0000-1100-0000E806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90600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219075</xdr:rowOff>
    </xdr:from>
    <xdr:to>
      <xdr:col>0</xdr:col>
      <xdr:colOff>1495425</xdr:colOff>
      <xdr:row>16</xdr:row>
      <xdr:rowOff>66675</xdr:rowOff>
    </xdr:to>
    <xdr:pic>
      <xdr:nvPicPr>
        <xdr:cNvPr id="1378025" name="Рисунок 33" descr="СКЕ-Н 60-4050">
          <a:extLst>
            <a:ext uri="{FF2B5EF4-FFF2-40B4-BE49-F238E27FC236}">
              <a16:creationId xmlns:a16="http://schemas.microsoft.com/office/drawing/2014/main" id="{00000000-0008-0000-1100-0000E906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6675"/>
          <a:ext cx="14287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ropbox/&#1044;&#1086;&#1082;&#1091;&#1084;&#1077;&#1085;&#1090;&#1099;/&#1055;&#1088;&#1072;&#1081;&#1089;&#1099;%20(&#1090;&#1086;&#1088;&#1075;&#1072;&#1096;&#1080;)/&#1044;&#1080;&#1083;&#1077;&#1088;&#1089;&#1082;&#1080;&#1081;%20&#1087;&#1088;&#1072;&#1081;&#1089;%20&#1086;&#1090;%2001.05.2014%20(&#1057;&#1082;&#1072;&#1081;&#1074;&#1077;&#1089;_&#1040;&#1072;&#1085;&#1083;&#1080;&#1090;&#1053;&#1077;&#1074;&#10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ropbox/&#1044;&#1086;&#1082;&#1091;&#1084;&#1077;&#1085;&#1090;&#1099;/&#1055;&#1088;&#1072;&#1081;&#1089;_&#1057;&#1082;&#1072;&#1081;&#1074;&#1077;&#1089;%20&#1086;&#1090;%2012.08.2015%20(&#1074;&#1077;&#1089;&#109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"/>
      <sheetName val="Citizen"/>
      <sheetName val="Shinko (ViBRA)"/>
      <sheetName val="CAS"/>
      <sheetName val="Ohaus"/>
      <sheetName val="ADAM"/>
      <sheetName val="Acom"/>
      <sheetName val="Sartorius"/>
      <sheetName val="KETT"/>
      <sheetName val="Госметр"/>
      <sheetName val="Веста"/>
      <sheetName val="МАССА-К"/>
      <sheetName val="САРТОГОСМ"/>
      <sheetName val="Скейл"/>
      <sheetName val="Гири и наборы гирь"/>
    </sheetNames>
    <sheetDataSet>
      <sheetData sheetId="0">
        <row r="3">
          <cell r="B3">
            <v>47.867100000000001</v>
          </cell>
        </row>
        <row r="4">
          <cell r="B4">
            <v>35.798699999999997</v>
          </cell>
        </row>
        <row r="7">
          <cell r="B7">
            <v>36</v>
          </cell>
        </row>
        <row r="8">
          <cell r="B8">
            <v>36.335680499999995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"/>
      <sheetName val="Citizen"/>
      <sheetName val="Shinko (ViBRA)"/>
      <sheetName val="CAS"/>
      <sheetName val="AND"/>
      <sheetName val="Ohaus"/>
      <sheetName val="ADAM"/>
      <sheetName val="Acom"/>
      <sheetName val="Госметр"/>
      <sheetName val="МАССА-К"/>
      <sheetName val="САРТОГОСМ"/>
      <sheetName val="Sartorius"/>
      <sheetName val="Веста"/>
      <sheetName val="Скейл"/>
      <sheetName val="KETT"/>
      <sheetName val="Гири и наборы гирь"/>
    </sheetNames>
    <sheetDataSet>
      <sheetData sheetId="0" refreshError="1">
        <row r="3">
          <cell r="B3">
            <v>79.725200000000001</v>
          </cell>
        </row>
        <row r="4">
          <cell r="B4">
            <v>69.3142</v>
          </cell>
        </row>
        <row r="7">
          <cell r="B7">
            <v>69.5</v>
          </cell>
        </row>
        <row r="8">
          <cell r="B8">
            <v>70.353912999999991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130" TargetMode="External"/><Relationship Id="rId13" Type="http://schemas.openxmlformats.org/officeDocument/2006/relationships/hyperlink" Target="http://skyves.ru/element/2135" TargetMode="External"/><Relationship Id="rId18" Type="http://schemas.openxmlformats.org/officeDocument/2006/relationships/hyperlink" Target="http://skyves.ru/element/2140" TargetMode="External"/><Relationship Id="rId3" Type="http://schemas.openxmlformats.org/officeDocument/2006/relationships/hyperlink" Target="http://skyves.ru/element/2125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skyves.ru/element/2129" TargetMode="External"/><Relationship Id="rId12" Type="http://schemas.openxmlformats.org/officeDocument/2006/relationships/hyperlink" Target="http://skyves.ru/element/2134" TargetMode="External"/><Relationship Id="rId17" Type="http://schemas.openxmlformats.org/officeDocument/2006/relationships/hyperlink" Target="http://skyves.ru/element/2139" TargetMode="External"/><Relationship Id="rId2" Type="http://schemas.openxmlformats.org/officeDocument/2006/relationships/hyperlink" Target="http://skyves.ru/element/2124" TargetMode="External"/><Relationship Id="rId16" Type="http://schemas.openxmlformats.org/officeDocument/2006/relationships/hyperlink" Target="http://skyves.ru/element/2138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skyves.ru/element/2123" TargetMode="External"/><Relationship Id="rId6" Type="http://schemas.openxmlformats.org/officeDocument/2006/relationships/hyperlink" Target="http://skyves.ru/element/2128" TargetMode="External"/><Relationship Id="rId11" Type="http://schemas.openxmlformats.org/officeDocument/2006/relationships/hyperlink" Target="http://skyves.ru/element/2133" TargetMode="External"/><Relationship Id="rId5" Type="http://schemas.openxmlformats.org/officeDocument/2006/relationships/hyperlink" Target="http://skyves.ru/element/2127" TargetMode="External"/><Relationship Id="rId15" Type="http://schemas.openxmlformats.org/officeDocument/2006/relationships/hyperlink" Target="http://skyves.ru/element/2137" TargetMode="External"/><Relationship Id="rId10" Type="http://schemas.openxmlformats.org/officeDocument/2006/relationships/hyperlink" Target="http://skyves.ru/element/2132" TargetMode="External"/><Relationship Id="rId19" Type="http://schemas.openxmlformats.org/officeDocument/2006/relationships/hyperlink" Target="http://skyves.ru/element/2141" TargetMode="External"/><Relationship Id="rId4" Type="http://schemas.openxmlformats.org/officeDocument/2006/relationships/hyperlink" Target="http://skyves.ru/element/2126" TargetMode="External"/><Relationship Id="rId9" Type="http://schemas.openxmlformats.org/officeDocument/2006/relationships/hyperlink" Target="http://skyves.ru/element/2131" TargetMode="External"/><Relationship Id="rId14" Type="http://schemas.openxmlformats.org/officeDocument/2006/relationships/hyperlink" Target="http://skyves.ru/element/213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281" TargetMode="External"/><Relationship Id="rId13" Type="http://schemas.openxmlformats.org/officeDocument/2006/relationships/hyperlink" Target="http://skyves.ru/element/2286" TargetMode="External"/><Relationship Id="rId18" Type="http://schemas.openxmlformats.org/officeDocument/2006/relationships/hyperlink" Target="http://skyves.ru/element/2292" TargetMode="External"/><Relationship Id="rId3" Type="http://schemas.openxmlformats.org/officeDocument/2006/relationships/hyperlink" Target="http://skyves.ru/element/2276" TargetMode="External"/><Relationship Id="rId21" Type="http://schemas.openxmlformats.org/officeDocument/2006/relationships/hyperlink" Target="http://skyves.ru/element/2294" TargetMode="External"/><Relationship Id="rId7" Type="http://schemas.openxmlformats.org/officeDocument/2006/relationships/hyperlink" Target="http://skyves.ru/element/2280" TargetMode="External"/><Relationship Id="rId12" Type="http://schemas.openxmlformats.org/officeDocument/2006/relationships/hyperlink" Target="http://skyves.ru/element/2285" TargetMode="External"/><Relationship Id="rId17" Type="http://schemas.openxmlformats.org/officeDocument/2006/relationships/hyperlink" Target="http://skyves.ru/element/2291" TargetMode="External"/><Relationship Id="rId2" Type="http://schemas.openxmlformats.org/officeDocument/2006/relationships/hyperlink" Target="http://skyves.ru/element/2275" TargetMode="External"/><Relationship Id="rId16" Type="http://schemas.openxmlformats.org/officeDocument/2006/relationships/hyperlink" Target="http://skyves.ru/element/2290" TargetMode="External"/><Relationship Id="rId20" Type="http://schemas.openxmlformats.org/officeDocument/2006/relationships/hyperlink" Target="http://skyves.ru/element/2295" TargetMode="External"/><Relationship Id="rId1" Type="http://schemas.openxmlformats.org/officeDocument/2006/relationships/hyperlink" Target="http://skyves.ru/element/2274" TargetMode="External"/><Relationship Id="rId6" Type="http://schemas.openxmlformats.org/officeDocument/2006/relationships/hyperlink" Target="http://skyves.ru/element/2279" TargetMode="External"/><Relationship Id="rId11" Type="http://schemas.openxmlformats.org/officeDocument/2006/relationships/hyperlink" Target="http://skyves.ru/element/2284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://skyves.ru/element/2278" TargetMode="External"/><Relationship Id="rId15" Type="http://schemas.openxmlformats.org/officeDocument/2006/relationships/hyperlink" Target="http://skyves.ru/element/2288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http://skyves.ru/element/2283" TargetMode="External"/><Relationship Id="rId19" Type="http://schemas.openxmlformats.org/officeDocument/2006/relationships/hyperlink" Target="http://skyves.ru/element/2293" TargetMode="External"/><Relationship Id="rId4" Type="http://schemas.openxmlformats.org/officeDocument/2006/relationships/hyperlink" Target="http://skyves.ru/element/2277" TargetMode="External"/><Relationship Id="rId9" Type="http://schemas.openxmlformats.org/officeDocument/2006/relationships/hyperlink" Target="http://skyves.ru/element/2282" TargetMode="External"/><Relationship Id="rId14" Type="http://schemas.openxmlformats.org/officeDocument/2006/relationships/hyperlink" Target="http://skyves.ru/element/2287" TargetMode="External"/><Relationship Id="rId22" Type="http://schemas.openxmlformats.org/officeDocument/2006/relationships/hyperlink" Target="http://skyves.ru/element/228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1665" TargetMode="External"/><Relationship Id="rId13" Type="http://schemas.openxmlformats.org/officeDocument/2006/relationships/hyperlink" Target="http://skyves.ru/element/1670" TargetMode="External"/><Relationship Id="rId18" Type="http://schemas.openxmlformats.org/officeDocument/2006/relationships/hyperlink" Target="http://skyves.ru/element/1677" TargetMode="External"/><Relationship Id="rId26" Type="http://schemas.openxmlformats.org/officeDocument/2006/relationships/hyperlink" Target="http://skyves.ru/element/1685" TargetMode="External"/><Relationship Id="rId3" Type="http://schemas.openxmlformats.org/officeDocument/2006/relationships/hyperlink" Target="http://skyves.ru/element/1656" TargetMode="External"/><Relationship Id="rId21" Type="http://schemas.openxmlformats.org/officeDocument/2006/relationships/hyperlink" Target="http://skyves.ru/element/1680" TargetMode="External"/><Relationship Id="rId7" Type="http://schemas.openxmlformats.org/officeDocument/2006/relationships/hyperlink" Target="http://skyves.ru/element/1664" TargetMode="External"/><Relationship Id="rId12" Type="http://schemas.openxmlformats.org/officeDocument/2006/relationships/hyperlink" Target="http://skyves.ru/element/1669" TargetMode="External"/><Relationship Id="rId17" Type="http://schemas.openxmlformats.org/officeDocument/2006/relationships/hyperlink" Target="http://skyves.ru/element/1676" TargetMode="External"/><Relationship Id="rId25" Type="http://schemas.openxmlformats.org/officeDocument/2006/relationships/hyperlink" Target="http://skyves.ru/element/1684" TargetMode="External"/><Relationship Id="rId2" Type="http://schemas.openxmlformats.org/officeDocument/2006/relationships/hyperlink" Target="http://skyves.ru/element/1655" TargetMode="External"/><Relationship Id="rId16" Type="http://schemas.openxmlformats.org/officeDocument/2006/relationships/hyperlink" Target="http://skyves.ru/element/1675" TargetMode="External"/><Relationship Id="rId20" Type="http://schemas.openxmlformats.org/officeDocument/2006/relationships/hyperlink" Target="http://skyves.ru/element/1679" TargetMode="External"/><Relationship Id="rId1" Type="http://schemas.openxmlformats.org/officeDocument/2006/relationships/hyperlink" Target="http://skyves.ru/element/1654" TargetMode="External"/><Relationship Id="rId6" Type="http://schemas.openxmlformats.org/officeDocument/2006/relationships/hyperlink" Target="http://skyves.ru/element/1659" TargetMode="External"/><Relationship Id="rId11" Type="http://schemas.openxmlformats.org/officeDocument/2006/relationships/hyperlink" Target="http://skyves.ru/element/1668" TargetMode="External"/><Relationship Id="rId24" Type="http://schemas.openxmlformats.org/officeDocument/2006/relationships/hyperlink" Target="http://skyves.ru/element/1683" TargetMode="External"/><Relationship Id="rId5" Type="http://schemas.openxmlformats.org/officeDocument/2006/relationships/hyperlink" Target="http://skyves.ru/element/1658" TargetMode="External"/><Relationship Id="rId15" Type="http://schemas.openxmlformats.org/officeDocument/2006/relationships/hyperlink" Target="http://skyves.ru/element/1674" TargetMode="External"/><Relationship Id="rId23" Type="http://schemas.openxmlformats.org/officeDocument/2006/relationships/hyperlink" Target="http://skyves.ru/element/1682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://skyves.ru/element/1667" TargetMode="External"/><Relationship Id="rId19" Type="http://schemas.openxmlformats.org/officeDocument/2006/relationships/hyperlink" Target="http://skyves.ru/element/1678" TargetMode="External"/><Relationship Id="rId4" Type="http://schemas.openxmlformats.org/officeDocument/2006/relationships/hyperlink" Target="http://skyves.ru/element/1657" TargetMode="External"/><Relationship Id="rId9" Type="http://schemas.openxmlformats.org/officeDocument/2006/relationships/hyperlink" Target="http://skyves.ru/element/1666" TargetMode="External"/><Relationship Id="rId14" Type="http://schemas.openxmlformats.org/officeDocument/2006/relationships/hyperlink" Target="http://skyves.ru/element/1673" TargetMode="External"/><Relationship Id="rId22" Type="http://schemas.openxmlformats.org/officeDocument/2006/relationships/hyperlink" Target="http://skyves.ru/element/1681" TargetMode="External"/><Relationship Id="rId27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skyves.ru/element/2379" TargetMode="External"/><Relationship Id="rId21" Type="http://schemas.openxmlformats.org/officeDocument/2006/relationships/hyperlink" Target="http://skyves.ru/element/1817" TargetMode="External"/><Relationship Id="rId42" Type="http://schemas.openxmlformats.org/officeDocument/2006/relationships/hyperlink" Target="http://skyves.ru/element/2190" TargetMode="External"/><Relationship Id="rId63" Type="http://schemas.openxmlformats.org/officeDocument/2006/relationships/hyperlink" Target="http://skyves.ru/element/2300" TargetMode="External"/><Relationship Id="rId84" Type="http://schemas.openxmlformats.org/officeDocument/2006/relationships/hyperlink" Target="http://skyves.ru/element/2345" TargetMode="External"/><Relationship Id="rId138" Type="http://schemas.openxmlformats.org/officeDocument/2006/relationships/hyperlink" Target="http://skyves.ru/element/2538" TargetMode="External"/><Relationship Id="rId159" Type="http://schemas.openxmlformats.org/officeDocument/2006/relationships/hyperlink" Target="http://skyves.ru/element/2567" TargetMode="External"/><Relationship Id="rId170" Type="http://schemas.openxmlformats.org/officeDocument/2006/relationships/hyperlink" Target="http://skyves.ru/element/2303" TargetMode="External"/><Relationship Id="rId107" Type="http://schemas.openxmlformats.org/officeDocument/2006/relationships/hyperlink" Target="http://skyves.ru/element/2369" TargetMode="External"/><Relationship Id="rId11" Type="http://schemas.openxmlformats.org/officeDocument/2006/relationships/hyperlink" Target="http://skyves.ru/element/1807" TargetMode="External"/><Relationship Id="rId32" Type="http://schemas.openxmlformats.org/officeDocument/2006/relationships/hyperlink" Target="http://skyves.ru/element/2174" TargetMode="External"/><Relationship Id="rId53" Type="http://schemas.openxmlformats.org/officeDocument/2006/relationships/hyperlink" Target="http://skyves.ru/element/2200" TargetMode="External"/><Relationship Id="rId74" Type="http://schemas.openxmlformats.org/officeDocument/2006/relationships/hyperlink" Target="http://skyves.ru/element/343" TargetMode="External"/><Relationship Id="rId128" Type="http://schemas.openxmlformats.org/officeDocument/2006/relationships/hyperlink" Target="http://skyves.ru/element/2528" TargetMode="External"/><Relationship Id="rId149" Type="http://schemas.openxmlformats.org/officeDocument/2006/relationships/hyperlink" Target="http://skyves.ru/element/1797" TargetMode="External"/><Relationship Id="rId5" Type="http://schemas.openxmlformats.org/officeDocument/2006/relationships/hyperlink" Target="http://skyves.ru/element/1801" TargetMode="External"/><Relationship Id="rId95" Type="http://schemas.openxmlformats.org/officeDocument/2006/relationships/hyperlink" Target="http://skyves.ru/element/2356" TargetMode="External"/><Relationship Id="rId160" Type="http://schemas.openxmlformats.org/officeDocument/2006/relationships/hyperlink" Target="http://skyves.ru/element/2568" TargetMode="External"/><Relationship Id="rId22" Type="http://schemas.openxmlformats.org/officeDocument/2006/relationships/hyperlink" Target="http://skyves.ru/element/1796" TargetMode="External"/><Relationship Id="rId43" Type="http://schemas.openxmlformats.org/officeDocument/2006/relationships/hyperlink" Target="http://skyves.ru/element/2196" TargetMode="External"/><Relationship Id="rId64" Type="http://schemas.openxmlformats.org/officeDocument/2006/relationships/hyperlink" Target="http://skyves.ru/element/2301" TargetMode="External"/><Relationship Id="rId118" Type="http://schemas.openxmlformats.org/officeDocument/2006/relationships/hyperlink" Target="http://skyves.ru/element/2380" TargetMode="External"/><Relationship Id="rId139" Type="http://schemas.openxmlformats.org/officeDocument/2006/relationships/hyperlink" Target="http://skyves.ru/element/2539" TargetMode="External"/><Relationship Id="rId85" Type="http://schemas.openxmlformats.org/officeDocument/2006/relationships/hyperlink" Target="http://skyves.ru/element/2346" TargetMode="External"/><Relationship Id="rId150" Type="http://schemas.openxmlformats.org/officeDocument/2006/relationships/hyperlink" Target="http://skyves.ru/element/2558" TargetMode="External"/><Relationship Id="rId171" Type="http://schemas.openxmlformats.org/officeDocument/2006/relationships/printerSettings" Target="../printerSettings/printerSettings5.bin"/><Relationship Id="rId12" Type="http://schemas.openxmlformats.org/officeDocument/2006/relationships/hyperlink" Target="http://skyves.ru/element/1808" TargetMode="External"/><Relationship Id="rId33" Type="http://schemas.openxmlformats.org/officeDocument/2006/relationships/hyperlink" Target="http://skyves.ru/element/2180" TargetMode="External"/><Relationship Id="rId108" Type="http://schemas.openxmlformats.org/officeDocument/2006/relationships/hyperlink" Target="http://skyves.ru/element/2370" TargetMode="External"/><Relationship Id="rId129" Type="http://schemas.openxmlformats.org/officeDocument/2006/relationships/hyperlink" Target="http://skyves.ru/element/2529" TargetMode="External"/><Relationship Id="rId54" Type="http://schemas.openxmlformats.org/officeDocument/2006/relationships/hyperlink" Target="http://skyves.ru/element/2202" TargetMode="External"/><Relationship Id="rId70" Type="http://schemas.openxmlformats.org/officeDocument/2006/relationships/hyperlink" Target="http://skyves.ru/element/1596" TargetMode="External"/><Relationship Id="rId75" Type="http://schemas.openxmlformats.org/officeDocument/2006/relationships/hyperlink" Target="http://skyves.ru/element/344" TargetMode="External"/><Relationship Id="rId91" Type="http://schemas.openxmlformats.org/officeDocument/2006/relationships/hyperlink" Target="http://skyves.ru/element/2352" TargetMode="External"/><Relationship Id="rId96" Type="http://schemas.openxmlformats.org/officeDocument/2006/relationships/hyperlink" Target="http://skyves.ru/element/2357" TargetMode="External"/><Relationship Id="rId140" Type="http://schemas.openxmlformats.org/officeDocument/2006/relationships/hyperlink" Target="http://skyves.ru/element/2540" TargetMode="External"/><Relationship Id="rId145" Type="http://schemas.openxmlformats.org/officeDocument/2006/relationships/hyperlink" Target="http://skyves.ru/element/2545" TargetMode="External"/><Relationship Id="rId161" Type="http://schemas.openxmlformats.org/officeDocument/2006/relationships/hyperlink" Target="http://skyves.ru/element/2569" TargetMode="External"/><Relationship Id="rId166" Type="http://schemas.openxmlformats.org/officeDocument/2006/relationships/hyperlink" Target="http://skyves.ru/element/2574" TargetMode="External"/><Relationship Id="rId1" Type="http://schemas.openxmlformats.org/officeDocument/2006/relationships/hyperlink" Target="http://skyves.ru/element/47" TargetMode="External"/><Relationship Id="rId6" Type="http://schemas.openxmlformats.org/officeDocument/2006/relationships/hyperlink" Target="http://skyves.ru/element/1802" TargetMode="External"/><Relationship Id="rId23" Type="http://schemas.openxmlformats.org/officeDocument/2006/relationships/hyperlink" Target="http://skyves.ru/element/2184" TargetMode="External"/><Relationship Id="rId28" Type="http://schemas.openxmlformats.org/officeDocument/2006/relationships/hyperlink" Target="http://skyves.ru/element/2177" TargetMode="External"/><Relationship Id="rId49" Type="http://schemas.openxmlformats.org/officeDocument/2006/relationships/hyperlink" Target="http://skyves.ru/element/2206" TargetMode="External"/><Relationship Id="rId114" Type="http://schemas.openxmlformats.org/officeDocument/2006/relationships/hyperlink" Target="http://skyves.ru/element/2376" TargetMode="External"/><Relationship Id="rId119" Type="http://schemas.openxmlformats.org/officeDocument/2006/relationships/hyperlink" Target="http://skyves.ru/element/2381" TargetMode="External"/><Relationship Id="rId44" Type="http://schemas.openxmlformats.org/officeDocument/2006/relationships/hyperlink" Target="http://skyves.ru/element/2191" TargetMode="External"/><Relationship Id="rId60" Type="http://schemas.openxmlformats.org/officeDocument/2006/relationships/hyperlink" Target="http://skyves.ru/element/2297" TargetMode="External"/><Relationship Id="rId65" Type="http://schemas.openxmlformats.org/officeDocument/2006/relationships/hyperlink" Target="http://skyves.ru/element/2302" TargetMode="External"/><Relationship Id="rId81" Type="http://schemas.openxmlformats.org/officeDocument/2006/relationships/hyperlink" Target="http://skyves.ru/element/349" TargetMode="External"/><Relationship Id="rId86" Type="http://schemas.openxmlformats.org/officeDocument/2006/relationships/hyperlink" Target="http://skyves.ru/element/2347" TargetMode="External"/><Relationship Id="rId130" Type="http://schemas.openxmlformats.org/officeDocument/2006/relationships/hyperlink" Target="http://skyves.ru/element/2530" TargetMode="External"/><Relationship Id="rId135" Type="http://schemas.openxmlformats.org/officeDocument/2006/relationships/hyperlink" Target="http://skyves.ru/element/2535" TargetMode="External"/><Relationship Id="rId151" Type="http://schemas.openxmlformats.org/officeDocument/2006/relationships/hyperlink" Target="http://skyves.ru/element/2559" TargetMode="External"/><Relationship Id="rId156" Type="http://schemas.openxmlformats.org/officeDocument/2006/relationships/hyperlink" Target="http://skyves.ru/element/2564" TargetMode="External"/><Relationship Id="rId172" Type="http://schemas.openxmlformats.org/officeDocument/2006/relationships/drawing" Target="../drawings/drawing4.xml"/><Relationship Id="rId13" Type="http://schemas.openxmlformats.org/officeDocument/2006/relationships/hyperlink" Target="http://skyves.ru/element/1809" TargetMode="External"/><Relationship Id="rId18" Type="http://schemas.openxmlformats.org/officeDocument/2006/relationships/hyperlink" Target="http://skyves.ru/element/1814" TargetMode="External"/><Relationship Id="rId39" Type="http://schemas.openxmlformats.org/officeDocument/2006/relationships/hyperlink" Target="http://skyves.ru/element/2188" TargetMode="External"/><Relationship Id="rId109" Type="http://schemas.openxmlformats.org/officeDocument/2006/relationships/hyperlink" Target="http://skyves.ru/element/2371" TargetMode="External"/><Relationship Id="rId34" Type="http://schemas.openxmlformats.org/officeDocument/2006/relationships/hyperlink" Target="http://skyves.ru/element/2175" TargetMode="External"/><Relationship Id="rId50" Type="http://schemas.openxmlformats.org/officeDocument/2006/relationships/hyperlink" Target="http://skyves.ru/element/2203" TargetMode="External"/><Relationship Id="rId55" Type="http://schemas.openxmlformats.org/officeDocument/2006/relationships/hyperlink" Target="http://skyves.ru/element/2199" TargetMode="External"/><Relationship Id="rId76" Type="http://schemas.openxmlformats.org/officeDocument/2006/relationships/hyperlink" Target="http://skyves.ru/element/345" TargetMode="External"/><Relationship Id="rId97" Type="http://schemas.openxmlformats.org/officeDocument/2006/relationships/hyperlink" Target="http://skyves.ru/element/2358" TargetMode="External"/><Relationship Id="rId104" Type="http://schemas.openxmlformats.org/officeDocument/2006/relationships/hyperlink" Target="http://skyves.ru/element/2366" TargetMode="External"/><Relationship Id="rId120" Type="http://schemas.openxmlformats.org/officeDocument/2006/relationships/hyperlink" Target="http://skyves.ru/element/2382" TargetMode="External"/><Relationship Id="rId125" Type="http://schemas.openxmlformats.org/officeDocument/2006/relationships/hyperlink" Target="http://skyves.ru/element/2525" TargetMode="External"/><Relationship Id="rId141" Type="http://schemas.openxmlformats.org/officeDocument/2006/relationships/hyperlink" Target="http://skyves.ru/element/2541" TargetMode="External"/><Relationship Id="rId146" Type="http://schemas.openxmlformats.org/officeDocument/2006/relationships/hyperlink" Target="http://skyves.ru/element/2359" TargetMode="External"/><Relationship Id="rId167" Type="http://schemas.openxmlformats.org/officeDocument/2006/relationships/hyperlink" Target="http://skyves.ru/element/2575" TargetMode="External"/><Relationship Id="rId7" Type="http://schemas.openxmlformats.org/officeDocument/2006/relationships/hyperlink" Target="http://skyves.ru/element/1803" TargetMode="External"/><Relationship Id="rId71" Type="http://schemas.openxmlformats.org/officeDocument/2006/relationships/hyperlink" Target="http://skyves.ru/element/1597" TargetMode="External"/><Relationship Id="rId92" Type="http://schemas.openxmlformats.org/officeDocument/2006/relationships/hyperlink" Target="http://skyves.ru/element/2353" TargetMode="External"/><Relationship Id="rId162" Type="http://schemas.openxmlformats.org/officeDocument/2006/relationships/hyperlink" Target="http://skyves.ru/element/2570" TargetMode="External"/><Relationship Id="rId2" Type="http://schemas.openxmlformats.org/officeDocument/2006/relationships/hyperlink" Target="http://skyves.ru/element/48" TargetMode="External"/><Relationship Id="rId29" Type="http://schemas.openxmlformats.org/officeDocument/2006/relationships/hyperlink" Target="http://skyves.ru/element/2178" TargetMode="External"/><Relationship Id="rId24" Type="http://schemas.openxmlformats.org/officeDocument/2006/relationships/hyperlink" Target="http://skyves.ru/element/2185" TargetMode="External"/><Relationship Id="rId40" Type="http://schemas.openxmlformats.org/officeDocument/2006/relationships/hyperlink" Target="http://skyves.ru/element/2189" TargetMode="External"/><Relationship Id="rId45" Type="http://schemas.openxmlformats.org/officeDocument/2006/relationships/hyperlink" Target="http://skyves.ru/element/2187" TargetMode="External"/><Relationship Id="rId66" Type="http://schemas.openxmlformats.org/officeDocument/2006/relationships/hyperlink" Target="http://skyves.ru/element/1794" TargetMode="External"/><Relationship Id="rId87" Type="http://schemas.openxmlformats.org/officeDocument/2006/relationships/hyperlink" Target="http://skyves.ru/element/2349" TargetMode="External"/><Relationship Id="rId110" Type="http://schemas.openxmlformats.org/officeDocument/2006/relationships/hyperlink" Target="http://skyves.ru/element/2372" TargetMode="External"/><Relationship Id="rId115" Type="http://schemas.openxmlformats.org/officeDocument/2006/relationships/hyperlink" Target="http://skyves.ru/element/2377" TargetMode="External"/><Relationship Id="rId131" Type="http://schemas.openxmlformats.org/officeDocument/2006/relationships/hyperlink" Target="http://skyves.ru/element/2531" TargetMode="External"/><Relationship Id="rId136" Type="http://schemas.openxmlformats.org/officeDocument/2006/relationships/hyperlink" Target="http://skyves.ru/element/2536" TargetMode="External"/><Relationship Id="rId157" Type="http://schemas.openxmlformats.org/officeDocument/2006/relationships/hyperlink" Target="http://skyves.ru/element/2565" TargetMode="External"/><Relationship Id="rId61" Type="http://schemas.openxmlformats.org/officeDocument/2006/relationships/hyperlink" Target="http://skyves.ru/element/2298" TargetMode="External"/><Relationship Id="rId82" Type="http://schemas.openxmlformats.org/officeDocument/2006/relationships/hyperlink" Target="http://skyves.ru/element/351" TargetMode="External"/><Relationship Id="rId152" Type="http://schemas.openxmlformats.org/officeDocument/2006/relationships/hyperlink" Target="http://skyves.ru/element/2560" TargetMode="External"/><Relationship Id="rId19" Type="http://schemas.openxmlformats.org/officeDocument/2006/relationships/hyperlink" Target="http://skyves.ru/element/1815" TargetMode="External"/><Relationship Id="rId14" Type="http://schemas.openxmlformats.org/officeDocument/2006/relationships/hyperlink" Target="http://skyves.ru/element/1810" TargetMode="External"/><Relationship Id="rId30" Type="http://schemas.openxmlformats.org/officeDocument/2006/relationships/hyperlink" Target="http://skyves.ru/element/2182" TargetMode="External"/><Relationship Id="rId35" Type="http://schemas.openxmlformats.org/officeDocument/2006/relationships/hyperlink" Target="http://skyves.ru/element/2193" TargetMode="External"/><Relationship Id="rId56" Type="http://schemas.openxmlformats.org/officeDocument/2006/relationships/hyperlink" Target="http://skyves.ru/element/2201" TargetMode="External"/><Relationship Id="rId77" Type="http://schemas.openxmlformats.org/officeDocument/2006/relationships/hyperlink" Target="http://skyves.ru/element/346" TargetMode="External"/><Relationship Id="rId100" Type="http://schemas.openxmlformats.org/officeDocument/2006/relationships/hyperlink" Target="http://skyves.ru/element/2362" TargetMode="External"/><Relationship Id="rId105" Type="http://schemas.openxmlformats.org/officeDocument/2006/relationships/hyperlink" Target="http://skyves.ru/element/2367" TargetMode="External"/><Relationship Id="rId126" Type="http://schemas.openxmlformats.org/officeDocument/2006/relationships/hyperlink" Target="http://skyves.ru/element/2526" TargetMode="External"/><Relationship Id="rId147" Type="http://schemas.openxmlformats.org/officeDocument/2006/relationships/hyperlink" Target="http://skyves.ru/element/1795" TargetMode="External"/><Relationship Id="rId168" Type="http://schemas.openxmlformats.org/officeDocument/2006/relationships/hyperlink" Target="http://skyves.ru/element/2576" TargetMode="External"/><Relationship Id="rId8" Type="http://schemas.openxmlformats.org/officeDocument/2006/relationships/hyperlink" Target="http://skyves.ru/element/1804" TargetMode="External"/><Relationship Id="rId51" Type="http://schemas.openxmlformats.org/officeDocument/2006/relationships/hyperlink" Target="http://skyves.ru/element/2204" TargetMode="External"/><Relationship Id="rId72" Type="http://schemas.openxmlformats.org/officeDocument/2006/relationships/hyperlink" Target="http://skyves.ru/element/1598" TargetMode="External"/><Relationship Id="rId93" Type="http://schemas.openxmlformats.org/officeDocument/2006/relationships/hyperlink" Target="http://skyves.ru/element/2354" TargetMode="External"/><Relationship Id="rId98" Type="http://schemas.openxmlformats.org/officeDocument/2006/relationships/hyperlink" Target="http://skyves.ru/element/2360" TargetMode="External"/><Relationship Id="rId121" Type="http://schemas.openxmlformats.org/officeDocument/2006/relationships/hyperlink" Target="http://skyves.ru/element/2383" TargetMode="External"/><Relationship Id="rId142" Type="http://schemas.openxmlformats.org/officeDocument/2006/relationships/hyperlink" Target="http://skyves.ru/element/2542" TargetMode="External"/><Relationship Id="rId163" Type="http://schemas.openxmlformats.org/officeDocument/2006/relationships/hyperlink" Target="http://skyves.ru/element/2571" TargetMode="External"/><Relationship Id="rId3" Type="http://schemas.openxmlformats.org/officeDocument/2006/relationships/hyperlink" Target="http://skyves.ru/element/1799" TargetMode="External"/><Relationship Id="rId25" Type="http://schemas.openxmlformats.org/officeDocument/2006/relationships/hyperlink" Target="http://skyves.ru/element/2181" TargetMode="External"/><Relationship Id="rId46" Type="http://schemas.openxmlformats.org/officeDocument/2006/relationships/hyperlink" Target="http://skyves.ru/element/2192" TargetMode="External"/><Relationship Id="rId67" Type="http://schemas.openxmlformats.org/officeDocument/2006/relationships/hyperlink" Target="http://skyves.ru/element/38" TargetMode="External"/><Relationship Id="rId116" Type="http://schemas.openxmlformats.org/officeDocument/2006/relationships/hyperlink" Target="http://skyves.ru/element/2378" TargetMode="External"/><Relationship Id="rId137" Type="http://schemas.openxmlformats.org/officeDocument/2006/relationships/hyperlink" Target="http://skyves.ru/element/2537" TargetMode="External"/><Relationship Id="rId158" Type="http://schemas.openxmlformats.org/officeDocument/2006/relationships/hyperlink" Target="http://skyves.ru/element/2566" TargetMode="External"/><Relationship Id="rId20" Type="http://schemas.openxmlformats.org/officeDocument/2006/relationships/hyperlink" Target="http://skyves.ru/element/1816" TargetMode="External"/><Relationship Id="rId41" Type="http://schemas.openxmlformats.org/officeDocument/2006/relationships/hyperlink" Target="http://skyves.ru/element/2186" TargetMode="External"/><Relationship Id="rId62" Type="http://schemas.openxmlformats.org/officeDocument/2006/relationships/hyperlink" Target="http://skyves.ru/element/2299" TargetMode="External"/><Relationship Id="rId83" Type="http://schemas.openxmlformats.org/officeDocument/2006/relationships/hyperlink" Target="http://skyves.ru/element/2344" TargetMode="External"/><Relationship Id="rId88" Type="http://schemas.openxmlformats.org/officeDocument/2006/relationships/hyperlink" Target="http://skyves.ru/element/2351" TargetMode="External"/><Relationship Id="rId111" Type="http://schemas.openxmlformats.org/officeDocument/2006/relationships/hyperlink" Target="http://skyves.ru/element/2373" TargetMode="External"/><Relationship Id="rId132" Type="http://schemas.openxmlformats.org/officeDocument/2006/relationships/hyperlink" Target="http://skyves.ru/element/2532" TargetMode="External"/><Relationship Id="rId153" Type="http://schemas.openxmlformats.org/officeDocument/2006/relationships/hyperlink" Target="http://skyves.ru/element/2561" TargetMode="External"/><Relationship Id="rId15" Type="http://schemas.openxmlformats.org/officeDocument/2006/relationships/hyperlink" Target="http://skyves.ru/element/1811" TargetMode="External"/><Relationship Id="rId36" Type="http://schemas.openxmlformats.org/officeDocument/2006/relationships/hyperlink" Target="http://skyves.ru/element/2194" TargetMode="External"/><Relationship Id="rId57" Type="http://schemas.openxmlformats.org/officeDocument/2006/relationships/hyperlink" Target="http://skyves.ru/element/2198" TargetMode="External"/><Relationship Id="rId106" Type="http://schemas.openxmlformats.org/officeDocument/2006/relationships/hyperlink" Target="http://skyves.ru/element/2368" TargetMode="External"/><Relationship Id="rId127" Type="http://schemas.openxmlformats.org/officeDocument/2006/relationships/hyperlink" Target="http://skyves.ru/element/2527" TargetMode="External"/><Relationship Id="rId10" Type="http://schemas.openxmlformats.org/officeDocument/2006/relationships/hyperlink" Target="http://skyves.ru/element/1806" TargetMode="External"/><Relationship Id="rId31" Type="http://schemas.openxmlformats.org/officeDocument/2006/relationships/hyperlink" Target="http://skyves.ru/element/2179" TargetMode="External"/><Relationship Id="rId52" Type="http://schemas.openxmlformats.org/officeDocument/2006/relationships/hyperlink" Target="http://skyves.ru/element/2207" TargetMode="External"/><Relationship Id="rId73" Type="http://schemas.openxmlformats.org/officeDocument/2006/relationships/hyperlink" Target="http://skyves.ru/element/342" TargetMode="External"/><Relationship Id="rId78" Type="http://schemas.openxmlformats.org/officeDocument/2006/relationships/hyperlink" Target="http://skyves.ru/element/347" TargetMode="External"/><Relationship Id="rId94" Type="http://schemas.openxmlformats.org/officeDocument/2006/relationships/hyperlink" Target="http://skyves.ru/element/2355" TargetMode="External"/><Relationship Id="rId99" Type="http://schemas.openxmlformats.org/officeDocument/2006/relationships/hyperlink" Target="http://skyves.ru/element/2361" TargetMode="External"/><Relationship Id="rId101" Type="http://schemas.openxmlformats.org/officeDocument/2006/relationships/hyperlink" Target="http://skyves.ru/element/2363" TargetMode="External"/><Relationship Id="rId122" Type="http://schemas.openxmlformats.org/officeDocument/2006/relationships/hyperlink" Target="http://skyves.ru/element/2384" TargetMode="External"/><Relationship Id="rId143" Type="http://schemas.openxmlformats.org/officeDocument/2006/relationships/hyperlink" Target="http://skyves.ru/element/2543" TargetMode="External"/><Relationship Id="rId148" Type="http://schemas.openxmlformats.org/officeDocument/2006/relationships/hyperlink" Target="http://skyves.ru/element/1798" TargetMode="External"/><Relationship Id="rId164" Type="http://schemas.openxmlformats.org/officeDocument/2006/relationships/hyperlink" Target="http://skyves.ru/element/2572" TargetMode="External"/><Relationship Id="rId169" Type="http://schemas.openxmlformats.org/officeDocument/2006/relationships/hyperlink" Target="http://skyves.ru/element/2577" TargetMode="External"/><Relationship Id="rId4" Type="http://schemas.openxmlformats.org/officeDocument/2006/relationships/hyperlink" Target="http://skyves.ru/element/1800" TargetMode="External"/><Relationship Id="rId9" Type="http://schemas.openxmlformats.org/officeDocument/2006/relationships/hyperlink" Target="http://skyves.ru/element/1805" TargetMode="External"/><Relationship Id="rId26" Type="http://schemas.openxmlformats.org/officeDocument/2006/relationships/hyperlink" Target="http://skyves.ru/element/2183" TargetMode="External"/><Relationship Id="rId47" Type="http://schemas.openxmlformats.org/officeDocument/2006/relationships/hyperlink" Target="http://skyves.ru/element/2205" TargetMode="External"/><Relationship Id="rId68" Type="http://schemas.openxmlformats.org/officeDocument/2006/relationships/hyperlink" Target="http://skyves.ru/element/39" TargetMode="External"/><Relationship Id="rId89" Type="http://schemas.openxmlformats.org/officeDocument/2006/relationships/hyperlink" Target="http://skyves.ru/element/2348" TargetMode="External"/><Relationship Id="rId112" Type="http://schemas.openxmlformats.org/officeDocument/2006/relationships/hyperlink" Target="http://skyves.ru/element/2374" TargetMode="External"/><Relationship Id="rId133" Type="http://schemas.openxmlformats.org/officeDocument/2006/relationships/hyperlink" Target="http://skyves.ru/element/2533" TargetMode="External"/><Relationship Id="rId154" Type="http://schemas.openxmlformats.org/officeDocument/2006/relationships/hyperlink" Target="http://skyves.ru/element/2562" TargetMode="External"/><Relationship Id="rId16" Type="http://schemas.openxmlformats.org/officeDocument/2006/relationships/hyperlink" Target="http://skyves.ru/element/1812" TargetMode="External"/><Relationship Id="rId37" Type="http://schemas.openxmlformats.org/officeDocument/2006/relationships/hyperlink" Target="http://skyves.ru/element/2197" TargetMode="External"/><Relationship Id="rId58" Type="http://schemas.openxmlformats.org/officeDocument/2006/relationships/hyperlink" Target="http://skyves.ru/element/2209" TargetMode="External"/><Relationship Id="rId79" Type="http://schemas.openxmlformats.org/officeDocument/2006/relationships/hyperlink" Target="http://skyves.ru/element/348" TargetMode="External"/><Relationship Id="rId102" Type="http://schemas.openxmlformats.org/officeDocument/2006/relationships/hyperlink" Target="http://skyves.ru/element/2364" TargetMode="External"/><Relationship Id="rId123" Type="http://schemas.openxmlformats.org/officeDocument/2006/relationships/hyperlink" Target="http://skyves.ru/element/2523" TargetMode="External"/><Relationship Id="rId144" Type="http://schemas.openxmlformats.org/officeDocument/2006/relationships/hyperlink" Target="http://skyves.ru/element/2544" TargetMode="External"/><Relationship Id="rId90" Type="http://schemas.openxmlformats.org/officeDocument/2006/relationships/hyperlink" Target="http://skyves.ru/element/2350" TargetMode="External"/><Relationship Id="rId165" Type="http://schemas.openxmlformats.org/officeDocument/2006/relationships/hyperlink" Target="http://skyves.ru/element/2573" TargetMode="External"/><Relationship Id="rId27" Type="http://schemas.openxmlformats.org/officeDocument/2006/relationships/hyperlink" Target="http://skyves.ru/element/2176" TargetMode="External"/><Relationship Id="rId48" Type="http://schemas.openxmlformats.org/officeDocument/2006/relationships/hyperlink" Target="http://skyves.ru/element/2208" TargetMode="External"/><Relationship Id="rId69" Type="http://schemas.openxmlformats.org/officeDocument/2006/relationships/hyperlink" Target="http://skyves.ru/element/40" TargetMode="External"/><Relationship Id="rId113" Type="http://schemas.openxmlformats.org/officeDocument/2006/relationships/hyperlink" Target="http://skyves.ru/element/2375" TargetMode="External"/><Relationship Id="rId134" Type="http://schemas.openxmlformats.org/officeDocument/2006/relationships/hyperlink" Target="http://skyves.ru/element/2534" TargetMode="External"/><Relationship Id="rId80" Type="http://schemas.openxmlformats.org/officeDocument/2006/relationships/hyperlink" Target="http://skyves.ru/element/350" TargetMode="External"/><Relationship Id="rId155" Type="http://schemas.openxmlformats.org/officeDocument/2006/relationships/hyperlink" Target="http://skyves.ru/element/2563" TargetMode="External"/><Relationship Id="rId17" Type="http://schemas.openxmlformats.org/officeDocument/2006/relationships/hyperlink" Target="http://skyves.ru/element/1813" TargetMode="External"/><Relationship Id="rId38" Type="http://schemas.openxmlformats.org/officeDocument/2006/relationships/hyperlink" Target="http://skyves.ru/element/2195" TargetMode="External"/><Relationship Id="rId59" Type="http://schemas.openxmlformats.org/officeDocument/2006/relationships/hyperlink" Target="http://skyves.ru/element/2296" TargetMode="External"/><Relationship Id="rId103" Type="http://schemas.openxmlformats.org/officeDocument/2006/relationships/hyperlink" Target="http://skyves.ru/element/2365" TargetMode="External"/><Relationship Id="rId124" Type="http://schemas.openxmlformats.org/officeDocument/2006/relationships/hyperlink" Target="http://skyves.ru/element/2524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1848" TargetMode="External"/><Relationship Id="rId21" Type="http://schemas.openxmlformats.org/officeDocument/2006/relationships/hyperlink" Target="http://skyves.ru/element/1843" TargetMode="External"/><Relationship Id="rId42" Type="http://schemas.openxmlformats.org/officeDocument/2006/relationships/hyperlink" Target="http://skyves.ru/element/2160" TargetMode="External"/><Relationship Id="rId47" Type="http://schemas.openxmlformats.org/officeDocument/2006/relationships/hyperlink" Target="http://skyves.ru/element/2165" TargetMode="External"/><Relationship Id="rId63" Type="http://schemas.openxmlformats.org/officeDocument/2006/relationships/hyperlink" Target="http://skyves.ru/element/2338" TargetMode="External"/><Relationship Id="rId68" Type="http://schemas.openxmlformats.org/officeDocument/2006/relationships/hyperlink" Target="http://skyves.ru/element/2460" TargetMode="External"/><Relationship Id="rId84" Type="http://schemas.openxmlformats.org/officeDocument/2006/relationships/hyperlink" Target="http://skyves.ru/element/2549" TargetMode="External"/><Relationship Id="rId89" Type="http://schemas.openxmlformats.org/officeDocument/2006/relationships/hyperlink" Target="http://skyves.ru/element/2340" TargetMode="External"/><Relationship Id="rId16" Type="http://schemas.openxmlformats.org/officeDocument/2006/relationships/hyperlink" Target="http://skyves.ru/element/1837" TargetMode="External"/><Relationship Id="rId11" Type="http://schemas.openxmlformats.org/officeDocument/2006/relationships/hyperlink" Target="http://skyves.ru/element/1003" TargetMode="External"/><Relationship Id="rId32" Type="http://schemas.openxmlformats.org/officeDocument/2006/relationships/hyperlink" Target="http://skyves.ru/element/1854" TargetMode="External"/><Relationship Id="rId37" Type="http://schemas.openxmlformats.org/officeDocument/2006/relationships/hyperlink" Target="http://skyves.ru/element/2155" TargetMode="External"/><Relationship Id="rId53" Type="http://schemas.openxmlformats.org/officeDocument/2006/relationships/hyperlink" Target="http://skyves.ru/element/2325" TargetMode="External"/><Relationship Id="rId58" Type="http://schemas.openxmlformats.org/officeDocument/2006/relationships/hyperlink" Target="http://skyves.ru/element/2333" TargetMode="External"/><Relationship Id="rId74" Type="http://schemas.openxmlformats.org/officeDocument/2006/relationships/hyperlink" Target="http://skyves.ru/element/2466" TargetMode="External"/><Relationship Id="rId79" Type="http://schemas.openxmlformats.org/officeDocument/2006/relationships/hyperlink" Target="http://skyves.ru/element/2471" TargetMode="External"/><Relationship Id="rId5" Type="http://schemas.openxmlformats.org/officeDocument/2006/relationships/hyperlink" Target="http://skyves.ru/element/996" TargetMode="External"/><Relationship Id="rId90" Type="http://schemas.openxmlformats.org/officeDocument/2006/relationships/hyperlink" Target="http://skyves.ru/element/2170" TargetMode="External"/><Relationship Id="rId95" Type="http://schemas.openxmlformats.org/officeDocument/2006/relationships/hyperlink" Target="http://skyves.ru/element/1859" TargetMode="External"/><Relationship Id="rId22" Type="http://schemas.openxmlformats.org/officeDocument/2006/relationships/hyperlink" Target="http://skyves.ru/element/1844" TargetMode="External"/><Relationship Id="rId27" Type="http://schemas.openxmlformats.org/officeDocument/2006/relationships/hyperlink" Target="http://skyves.ru/element/1849" TargetMode="External"/><Relationship Id="rId43" Type="http://schemas.openxmlformats.org/officeDocument/2006/relationships/hyperlink" Target="http://skyves.ru/element/2161" TargetMode="External"/><Relationship Id="rId48" Type="http://schemas.openxmlformats.org/officeDocument/2006/relationships/hyperlink" Target="http://skyves.ru/element/2166" TargetMode="External"/><Relationship Id="rId64" Type="http://schemas.openxmlformats.org/officeDocument/2006/relationships/hyperlink" Target="http://skyves.ru/element/2339" TargetMode="External"/><Relationship Id="rId69" Type="http://schemas.openxmlformats.org/officeDocument/2006/relationships/hyperlink" Target="http://skyves.ru/element/2461" TargetMode="External"/><Relationship Id="rId80" Type="http://schemas.openxmlformats.org/officeDocument/2006/relationships/hyperlink" Target="http://skyves.ru/element/2472" TargetMode="External"/><Relationship Id="rId85" Type="http://schemas.openxmlformats.org/officeDocument/2006/relationships/hyperlink" Target="http://skyves.ru/element/2548" TargetMode="External"/><Relationship Id="rId3" Type="http://schemas.openxmlformats.org/officeDocument/2006/relationships/hyperlink" Target="http://skyves.ru/element/994" TargetMode="External"/><Relationship Id="rId12" Type="http://schemas.openxmlformats.org/officeDocument/2006/relationships/hyperlink" Target="http://skyves.ru/element/1005" TargetMode="External"/><Relationship Id="rId17" Type="http://schemas.openxmlformats.org/officeDocument/2006/relationships/hyperlink" Target="http://skyves.ru/element/1839" TargetMode="External"/><Relationship Id="rId25" Type="http://schemas.openxmlformats.org/officeDocument/2006/relationships/hyperlink" Target="http://skyves.ru/element/1847" TargetMode="External"/><Relationship Id="rId33" Type="http://schemas.openxmlformats.org/officeDocument/2006/relationships/hyperlink" Target="http://skyves.ru/element/1855" TargetMode="External"/><Relationship Id="rId38" Type="http://schemas.openxmlformats.org/officeDocument/2006/relationships/hyperlink" Target="http://skyves.ru/element/2156" TargetMode="External"/><Relationship Id="rId46" Type="http://schemas.openxmlformats.org/officeDocument/2006/relationships/hyperlink" Target="http://skyves.ru/element/2164" TargetMode="External"/><Relationship Id="rId59" Type="http://schemas.openxmlformats.org/officeDocument/2006/relationships/hyperlink" Target="http://skyves.ru/element/2334" TargetMode="External"/><Relationship Id="rId67" Type="http://schemas.openxmlformats.org/officeDocument/2006/relationships/hyperlink" Target="http://skyves.ru/element/2459" TargetMode="External"/><Relationship Id="rId20" Type="http://schemas.openxmlformats.org/officeDocument/2006/relationships/hyperlink" Target="http://skyves.ru/element/1842" TargetMode="External"/><Relationship Id="rId41" Type="http://schemas.openxmlformats.org/officeDocument/2006/relationships/hyperlink" Target="http://skyves.ru/element/2159" TargetMode="External"/><Relationship Id="rId54" Type="http://schemas.openxmlformats.org/officeDocument/2006/relationships/hyperlink" Target="http://skyves.ru/element/2326" TargetMode="External"/><Relationship Id="rId62" Type="http://schemas.openxmlformats.org/officeDocument/2006/relationships/hyperlink" Target="http://skyves.ru/element/2337" TargetMode="External"/><Relationship Id="rId70" Type="http://schemas.openxmlformats.org/officeDocument/2006/relationships/hyperlink" Target="http://skyves.ru/element/2462" TargetMode="External"/><Relationship Id="rId75" Type="http://schemas.openxmlformats.org/officeDocument/2006/relationships/hyperlink" Target="http://skyves.ru/element/2467" TargetMode="External"/><Relationship Id="rId83" Type="http://schemas.openxmlformats.org/officeDocument/2006/relationships/hyperlink" Target="http://skyves.ru/element/2550" TargetMode="External"/><Relationship Id="rId88" Type="http://schemas.openxmlformats.org/officeDocument/2006/relationships/hyperlink" Target="http://skyves.ru/element/2341" TargetMode="External"/><Relationship Id="rId91" Type="http://schemas.openxmlformats.org/officeDocument/2006/relationships/hyperlink" Target="http://skyves.ru/element/2169" TargetMode="External"/><Relationship Id="rId96" Type="http://schemas.openxmlformats.org/officeDocument/2006/relationships/hyperlink" Target="http://skyves.ru/element/1858" TargetMode="External"/><Relationship Id="rId1" Type="http://schemas.openxmlformats.org/officeDocument/2006/relationships/hyperlink" Target="http://skyves.ru/element/991" TargetMode="External"/><Relationship Id="rId6" Type="http://schemas.openxmlformats.org/officeDocument/2006/relationships/hyperlink" Target="http://skyves.ru/element/997" TargetMode="External"/><Relationship Id="rId15" Type="http://schemas.openxmlformats.org/officeDocument/2006/relationships/hyperlink" Target="http://skyves.ru/element/1832" TargetMode="External"/><Relationship Id="rId23" Type="http://schemas.openxmlformats.org/officeDocument/2006/relationships/hyperlink" Target="http://skyves.ru/element/1845" TargetMode="External"/><Relationship Id="rId28" Type="http://schemas.openxmlformats.org/officeDocument/2006/relationships/hyperlink" Target="http://skyves.ru/element/1850" TargetMode="External"/><Relationship Id="rId36" Type="http://schemas.openxmlformats.org/officeDocument/2006/relationships/hyperlink" Target="http://skyves.ru/element/2154" TargetMode="External"/><Relationship Id="rId49" Type="http://schemas.openxmlformats.org/officeDocument/2006/relationships/hyperlink" Target="http://skyves.ru/element/2167" TargetMode="External"/><Relationship Id="rId57" Type="http://schemas.openxmlformats.org/officeDocument/2006/relationships/hyperlink" Target="http://skyves.ru/element/2332" TargetMode="External"/><Relationship Id="rId10" Type="http://schemas.openxmlformats.org/officeDocument/2006/relationships/hyperlink" Target="http://skyves.ru/element/1002" TargetMode="External"/><Relationship Id="rId31" Type="http://schemas.openxmlformats.org/officeDocument/2006/relationships/hyperlink" Target="http://skyves.ru/element/1853" TargetMode="External"/><Relationship Id="rId44" Type="http://schemas.openxmlformats.org/officeDocument/2006/relationships/hyperlink" Target="http://skyves.ru/element/2162" TargetMode="External"/><Relationship Id="rId52" Type="http://schemas.openxmlformats.org/officeDocument/2006/relationships/hyperlink" Target="http://skyves.ru/element/2324" TargetMode="External"/><Relationship Id="rId60" Type="http://schemas.openxmlformats.org/officeDocument/2006/relationships/hyperlink" Target="http://skyves.ru/element/2335" TargetMode="External"/><Relationship Id="rId65" Type="http://schemas.openxmlformats.org/officeDocument/2006/relationships/hyperlink" Target="http://skyves.ru/element/2457" TargetMode="External"/><Relationship Id="rId73" Type="http://schemas.openxmlformats.org/officeDocument/2006/relationships/hyperlink" Target="http://skyves.ru/element/2465" TargetMode="External"/><Relationship Id="rId78" Type="http://schemas.openxmlformats.org/officeDocument/2006/relationships/hyperlink" Target="http://skyves.ru/element/2470" TargetMode="External"/><Relationship Id="rId81" Type="http://schemas.openxmlformats.org/officeDocument/2006/relationships/hyperlink" Target="http://skyves.ru/element/2473" TargetMode="External"/><Relationship Id="rId86" Type="http://schemas.openxmlformats.org/officeDocument/2006/relationships/hyperlink" Target="http://skyves.ru/element/2547" TargetMode="External"/><Relationship Id="rId94" Type="http://schemas.openxmlformats.org/officeDocument/2006/relationships/hyperlink" Target="http://skyves.ru/element/1860" TargetMode="External"/><Relationship Id="rId99" Type="http://schemas.openxmlformats.org/officeDocument/2006/relationships/printerSettings" Target="../printerSettings/printerSettings6.bin"/><Relationship Id="rId4" Type="http://schemas.openxmlformats.org/officeDocument/2006/relationships/hyperlink" Target="http://skyves.ru/element/995" TargetMode="External"/><Relationship Id="rId9" Type="http://schemas.openxmlformats.org/officeDocument/2006/relationships/hyperlink" Target="http://skyves.ru/element/1000" TargetMode="External"/><Relationship Id="rId13" Type="http://schemas.openxmlformats.org/officeDocument/2006/relationships/hyperlink" Target="http://skyves.ru/element/1007" TargetMode="External"/><Relationship Id="rId18" Type="http://schemas.openxmlformats.org/officeDocument/2006/relationships/hyperlink" Target="http://skyves.ru/element/1840" TargetMode="External"/><Relationship Id="rId39" Type="http://schemas.openxmlformats.org/officeDocument/2006/relationships/hyperlink" Target="http://skyves.ru/element/2157" TargetMode="External"/><Relationship Id="rId34" Type="http://schemas.openxmlformats.org/officeDocument/2006/relationships/hyperlink" Target="http://skyves.ru/element/1838" TargetMode="External"/><Relationship Id="rId50" Type="http://schemas.openxmlformats.org/officeDocument/2006/relationships/hyperlink" Target="http://skyves.ru/element/2304" TargetMode="External"/><Relationship Id="rId55" Type="http://schemas.openxmlformats.org/officeDocument/2006/relationships/hyperlink" Target="http://skyves.ru/element/990" TargetMode="External"/><Relationship Id="rId76" Type="http://schemas.openxmlformats.org/officeDocument/2006/relationships/hyperlink" Target="http://skyves.ru/element/2468" TargetMode="External"/><Relationship Id="rId97" Type="http://schemas.openxmlformats.org/officeDocument/2006/relationships/hyperlink" Target="http://skyves.ru/element/1857" TargetMode="External"/><Relationship Id="rId7" Type="http://schemas.openxmlformats.org/officeDocument/2006/relationships/hyperlink" Target="http://skyves.ru/element/998" TargetMode="External"/><Relationship Id="rId71" Type="http://schemas.openxmlformats.org/officeDocument/2006/relationships/hyperlink" Target="http://skyves.ru/element/2463" TargetMode="External"/><Relationship Id="rId92" Type="http://schemas.openxmlformats.org/officeDocument/2006/relationships/hyperlink" Target="http://skyves.ru/element/2168" TargetMode="External"/><Relationship Id="rId2" Type="http://schemas.openxmlformats.org/officeDocument/2006/relationships/hyperlink" Target="http://skyves.ru/element/993" TargetMode="External"/><Relationship Id="rId29" Type="http://schemas.openxmlformats.org/officeDocument/2006/relationships/hyperlink" Target="http://skyves.ru/element/1851" TargetMode="External"/><Relationship Id="rId24" Type="http://schemas.openxmlformats.org/officeDocument/2006/relationships/hyperlink" Target="http://skyves.ru/element/1846" TargetMode="External"/><Relationship Id="rId40" Type="http://schemas.openxmlformats.org/officeDocument/2006/relationships/hyperlink" Target="http://skyves.ru/element/2158" TargetMode="External"/><Relationship Id="rId45" Type="http://schemas.openxmlformats.org/officeDocument/2006/relationships/hyperlink" Target="http://skyves.ru/element/2163" TargetMode="External"/><Relationship Id="rId66" Type="http://schemas.openxmlformats.org/officeDocument/2006/relationships/hyperlink" Target="http://skyves.ru/element/2458" TargetMode="External"/><Relationship Id="rId87" Type="http://schemas.openxmlformats.org/officeDocument/2006/relationships/hyperlink" Target="http://skyves.ru/element/2546" TargetMode="External"/><Relationship Id="rId61" Type="http://schemas.openxmlformats.org/officeDocument/2006/relationships/hyperlink" Target="http://skyves.ru/element/2336" TargetMode="External"/><Relationship Id="rId82" Type="http://schemas.openxmlformats.org/officeDocument/2006/relationships/hyperlink" Target="http://skyves.ru/element/2474" TargetMode="External"/><Relationship Id="rId19" Type="http://schemas.openxmlformats.org/officeDocument/2006/relationships/hyperlink" Target="http://skyves.ru/element/1841" TargetMode="External"/><Relationship Id="rId14" Type="http://schemas.openxmlformats.org/officeDocument/2006/relationships/hyperlink" Target="http://skyves.ru/element/1831" TargetMode="External"/><Relationship Id="rId30" Type="http://schemas.openxmlformats.org/officeDocument/2006/relationships/hyperlink" Target="http://skyves.ru/element/1852" TargetMode="External"/><Relationship Id="rId35" Type="http://schemas.openxmlformats.org/officeDocument/2006/relationships/hyperlink" Target="http://skyves.ru/element/2153" TargetMode="External"/><Relationship Id="rId56" Type="http://schemas.openxmlformats.org/officeDocument/2006/relationships/hyperlink" Target="http://skyves.ru/element/992" TargetMode="External"/><Relationship Id="rId77" Type="http://schemas.openxmlformats.org/officeDocument/2006/relationships/hyperlink" Target="http://skyves.ru/element/2469" TargetMode="External"/><Relationship Id="rId100" Type="http://schemas.openxmlformats.org/officeDocument/2006/relationships/drawing" Target="../drawings/drawing5.xml"/><Relationship Id="rId8" Type="http://schemas.openxmlformats.org/officeDocument/2006/relationships/hyperlink" Target="http://skyves.ru/element/999" TargetMode="External"/><Relationship Id="rId51" Type="http://schemas.openxmlformats.org/officeDocument/2006/relationships/hyperlink" Target="http://skyves.ru/element/2323" TargetMode="External"/><Relationship Id="rId72" Type="http://schemas.openxmlformats.org/officeDocument/2006/relationships/hyperlink" Target="http://skyves.ru/element/2464" TargetMode="External"/><Relationship Id="rId93" Type="http://schemas.openxmlformats.org/officeDocument/2006/relationships/hyperlink" Target="http://skyves.ru/element/1861" TargetMode="External"/><Relationship Id="rId98" Type="http://schemas.openxmlformats.org/officeDocument/2006/relationships/hyperlink" Target="http://skyves.ru/element/1856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://skyves.ru/element/329" TargetMode="External"/><Relationship Id="rId21" Type="http://schemas.openxmlformats.org/officeDocument/2006/relationships/hyperlink" Target="http://skyves.ru/element/622" TargetMode="External"/><Relationship Id="rId42" Type="http://schemas.openxmlformats.org/officeDocument/2006/relationships/hyperlink" Target="http://skyves.ru/element/1868" TargetMode="External"/><Relationship Id="rId63" Type="http://schemas.openxmlformats.org/officeDocument/2006/relationships/hyperlink" Target="http://skyves.ru/element/1938" TargetMode="External"/><Relationship Id="rId84" Type="http://schemas.openxmlformats.org/officeDocument/2006/relationships/hyperlink" Target="http://skyves.ru/element/1963" TargetMode="External"/><Relationship Id="rId138" Type="http://schemas.openxmlformats.org/officeDocument/2006/relationships/hyperlink" Target="http://skyves.ru/element/590" TargetMode="External"/><Relationship Id="rId159" Type="http://schemas.openxmlformats.org/officeDocument/2006/relationships/hyperlink" Target="http://skyves.ru/element/648" TargetMode="External"/><Relationship Id="rId170" Type="http://schemas.openxmlformats.org/officeDocument/2006/relationships/hyperlink" Target="http://skyves.ru/element/2343" TargetMode="External"/><Relationship Id="rId191" Type="http://schemas.openxmlformats.org/officeDocument/2006/relationships/hyperlink" Target="http://skyves.ru/element/2619" TargetMode="External"/><Relationship Id="rId205" Type="http://schemas.openxmlformats.org/officeDocument/2006/relationships/hyperlink" Target="http://skyves.ru/element/2482" TargetMode="External"/><Relationship Id="rId107" Type="http://schemas.openxmlformats.org/officeDocument/2006/relationships/hyperlink" Target="http://skyves.ru/element/2089" TargetMode="External"/><Relationship Id="rId11" Type="http://schemas.openxmlformats.org/officeDocument/2006/relationships/hyperlink" Target="http://skyves.ru/element/598" TargetMode="External"/><Relationship Id="rId32" Type="http://schemas.openxmlformats.org/officeDocument/2006/relationships/hyperlink" Target="http://skyves.ru/element/610" TargetMode="External"/><Relationship Id="rId53" Type="http://schemas.openxmlformats.org/officeDocument/2006/relationships/hyperlink" Target="http://skyves.ru/element/1928" TargetMode="External"/><Relationship Id="rId74" Type="http://schemas.openxmlformats.org/officeDocument/2006/relationships/hyperlink" Target="http://skyves.ru/element/1952" TargetMode="External"/><Relationship Id="rId128" Type="http://schemas.openxmlformats.org/officeDocument/2006/relationships/hyperlink" Target="http://skyves.ru/element/573" TargetMode="External"/><Relationship Id="rId149" Type="http://schemas.openxmlformats.org/officeDocument/2006/relationships/hyperlink" Target="http://skyves.ru/element/640" TargetMode="External"/><Relationship Id="rId5" Type="http://schemas.openxmlformats.org/officeDocument/2006/relationships/hyperlink" Target="http://skyves.ru/element/594" TargetMode="External"/><Relationship Id="rId95" Type="http://schemas.openxmlformats.org/officeDocument/2006/relationships/hyperlink" Target="http://skyves.ru/element/2077" TargetMode="External"/><Relationship Id="rId160" Type="http://schemas.openxmlformats.org/officeDocument/2006/relationships/hyperlink" Target="http://skyves.ru/element/647" TargetMode="External"/><Relationship Id="rId181" Type="http://schemas.openxmlformats.org/officeDocument/2006/relationships/hyperlink" Target="http://skyves.ru/element/2503" TargetMode="External"/><Relationship Id="rId22" Type="http://schemas.openxmlformats.org/officeDocument/2006/relationships/hyperlink" Target="http://skyves.ru/element/623" TargetMode="External"/><Relationship Id="rId43" Type="http://schemas.openxmlformats.org/officeDocument/2006/relationships/hyperlink" Target="http://skyves.ru/element/1869" TargetMode="External"/><Relationship Id="rId64" Type="http://schemas.openxmlformats.org/officeDocument/2006/relationships/hyperlink" Target="http://skyves.ru/element/1941" TargetMode="External"/><Relationship Id="rId118" Type="http://schemas.openxmlformats.org/officeDocument/2006/relationships/hyperlink" Target="http://skyves.ru/element/331" TargetMode="External"/><Relationship Id="rId139" Type="http://schemas.openxmlformats.org/officeDocument/2006/relationships/hyperlink" Target="http://skyves.ru/element/591" TargetMode="External"/><Relationship Id="rId85" Type="http://schemas.openxmlformats.org/officeDocument/2006/relationships/hyperlink" Target="http://skyves.ru/element/1964" TargetMode="External"/><Relationship Id="rId150" Type="http://schemas.openxmlformats.org/officeDocument/2006/relationships/hyperlink" Target="http://skyves.ru/element/635" TargetMode="External"/><Relationship Id="rId171" Type="http://schemas.openxmlformats.org/officeDocument/2006/relationships/hyperlink" Target="http://skyves.ru/element/2493" TargetMode="External"/><Relationship Id="rId192" Type="http://schemas.openxmlformats.org/officeDocument/2006/relationships/hyperlink" Target="http://skyves.ru/element/2621" TargetMode="External"/><Relationship Id="rId206" Type="http://schemas.openxmlformats.org/officeDocument/2006/relationships/hyperlink" Target="http://skyves.ru/element/2481" TargetMode="External"/><Relationship Id="rId12" Type="http://schemas.openxmlformats.org/officeDocument/2006/relationships/hyperlink" Target="http://skyves.ru/element/599" TargetMode="External"/><Relationship Id="rId33" Type="http://schemas.openxmlformats.org/officeDocument/2006/relationships/hyperlink" Target="http://skyves.ru/element/611" TargetMode="External"/><Relationship Id="rId108" Type="http://schemas.openxmlformats.org/officeDocument/2006/relationships/hyperlink" Target="http://skyves.ru/element/2090" TargetMode="External"/><Relationship Id="rId129" Type="http://schemas.openxmlformats.org/officeDocument/2006/relationships/hyperlink" Target="http://skyves.ru/element/574" TargetMode="External"/><Relationship Id="rId54" Type="http://schemas.openxmlformats.org/officeDocument/2006/relationships/hyperlink" Target="http://skyves.ru/element/1929" TargetMode="External"/><Relationship Id="rId75" Type="http://schemas.openxmlformats.org/officeDocument/2006/relationships/hyperlink" Target="http://skyves.ru/element/1953" TargetMode="External"/><Relationship Id="rId96" Type="http://schemas.openxmlformats.org/officeDocument/2006/relationships/hyperlink" Target="http://skyves.ru/element/2078" TargetMode="External"/><Relationship Id="rId140" Type="http://schemas.openxmlformats.org/officeDocument/2006/relationships/hyperlink" Target="http://skyves.ru/element/592" TargetMode="External"/><Relationship Id="rId161" Type="http://schemas.openxmlformats.org/officeDocument/2006/relationships/hyperlink" Target="http://skyves.ru/element/649" TargetMode="External"/><Relationship Id="rId182" Type="http://schemas.openxmlformats.org/officeDocument/2006/relationships/hyperlink" Target="http://skyves.ru/element/2504" TargetMode="External"/><Relationship Id="rId6" Type="http://schemas.openxmlformats.org/officeDocument/2006/relationships/hyperlink" Target="http://skyves.ru/element/595" TargetMode="External"/><Relationship Id="rId23" Type="http://schemas.openxmlformats.org/officeDocument/2006/relationships/hyperlink" Target="http://skyves.ru/element/624" TargetMode="External"/><Relationship Id="rId119" Type="http://schemas.openxmlformats.org/officeDocument/2006/relationships/hyperlink" Target="http://skyves.ru/element/332" TargetMode="External"/><Relationship Id="rId44" Type="http://schemas.openxmlformats.org/officeDocument/2006/relationships/hyperlink" Target="http://skyves.ru/element/1870" TargetMode="External"/><Relationship Id="rId65" Type="http://schemas.openxmlformats.org/officeDocument/2006/relationships/hyperlink" Target="http://skyves.ru/element/1942" TargetMode="External"/><Relationship Id="rId86" Type="http://schemas.openxmlformats.org/officeDocument/2006/relationships/hyperlink" Target="http://skyves.ru/element/1966" TargetMode="External"/><Relationship Id="rId130" Type="http://schemas.openxmlformats.org/officeDocument/2006/relationships/hyperlink" Target="http://skyves.ru/element/575" TargetMode="External"/><Relationship Id="rId151" Type="http://schemas.openxmlformats.org/officeDocument/2006/relationships/hyperlink" Target="http://skyves.ru/element/641" TargetMode="External"/><Relationship Id="rId172" Type="http://schemas.openxmlformats.org/officeDocument/2006/relationships/hyperlink" Target="http://skyves.ru/element/2494" TargetMode="External"/><Relationship Id="rId193" Type="http://schemas.openxmlformats.org/officeDocument/2006/relationships/hyperlink" Target="http://skyves.ru/element/2622" TargetMode="External"/><Relationship Id="rId207" Type="http://schemas.openxmlformats.org/officeDocument/2006/relationships/hyperlink" Target="http://skyves.ru/element/2480" TargetMode="External"/><Relationship Id="rId13" Type="http://schemas.openxmlformats.org/officeDocument/2006/relationships/hyperlink" Target="http://skyves.ru/element/601" TargetMode="External"/><Relationship Id="rId109" Type="http://schemas.openxmlformats.org/officeDocument/2006/relationships/hyperlink" Target="http://skyves.ru/element/2091" TargetMode="External"/><Relationship Id="rId34" Type="http://schemas.openxmlformats.org/officeDocument/2006/relationships/hyperlink" Target="http://skyves.ru/element/612" TargetMode="External"/><Relationship Id="rId55" Type="http://schemas.openxmlformats.org/officeDocument/2006/relationships/hyperlink" Target="http://skyves.ru/element/1930" TargetMode="External"/><Relationship Id="rId76" Type="http://schemas.openxmlformats.org/officeDocument/2006/relationships/hyperlink" Target="http://skyves.ru/element/1954" TargetMode="External"/><Relationship Id="rId97" Type="http://schemas.openxmlformats.org/officeDocument/2006/relationships/hyperlink" Target="http://skyves.ru/element/2079" TargetMode="External"/><Relationship Id="rId120" Type="http://schemas.openxmlformats.org/officeDocument/2006/relationships/hyperlink" Target="http://skyves.ru/element/333" TargetMode="External"/><Relationship Id="rId141" Type="http://schemas.openxmlformats.org/officeDocument/2006/relationships/hyperlink" Target="http://skyves.ru/element/629" TargetMode="External"/><Relationship Id="rId7" Type="http://schemas.openxmlformats.org/officeDocument/2006/relationships/hyperlink" Target="http://skyves.ru/element/596" TargetMode="External"/><Relationship Id="rId162" Type="http://schemas.openxmlformats.org/officeDocument/2006/relationships/hyperlink" Target="http://skyves.ru/element/650" TargetMode="External"/><Relationship Id="rId183" Type="http://schemas.openxmlformats.org/officeDocument/2006/relationships/hyperlink" Target="http://skyves.ru/element/2505" TargetMode="External"/><Relationship Id="rId24" Type="http://schemas.openxmlformats.org/officeDocument/2006/relationships/hyperlink" Target="http://skyves.ru/element/625" TargetMode="External"/><Relationship Id="rId45" Type="http://schemas.openxmlformats.org/officeDocument/2006/relationships/hyperlink" Target="http://skyves.ru/element/1871" TargetMode="External"/><Relationship Id="rId66" Type="http://schemas.openxmlformats.org/officeDocument/2006/relationships/hyperlink" Target="http://skyves.ru/element/1943" TargetMode="External"/><Relationship Id="rId87" Type="http://schemas.openxmlformats.org/officeDocument/2006/relationships/hyperlink" Target="http://skyves.ru/element/2070" TargetMode="External"/><Relationship Id="rId110" Type="http://schemas.openxmlformats.org/officeDocument/2006/relationships/hyperlink" Target="http://skyves.ru/element/2094" TargetMode="External"/><Relationship Id="rId131" Type="http://schemas.openxmlformats.org/officeDocument/2006/relationships/hyperlink" Target="http://skyves.ru/element/580" TargetMode="External"/><Relationship Id="rId61" Type="http://schemas.openxmlformats.org/officeDocument/2006/relationships/hyperlink" Target="http://skyves.ru/element/1939" TargetMode="External"/><Relationship Id="rId82" Type="http://schemas.openxmlformats.org/officeDocument/2006/relationships/hyperlink" Target="http://skyves.ru/element/1961" TargetMode="External"/><Relationship Id="rId152" Type="http://schemas.openxmlformats.org/officeDocument/2006/relationships/hyperlink" Target="http://skyves.ru/element/636" TargetMode="External"/><Relationship Id="rId173" Type="http://schemas.openxmlformats.org/officeDocument/2006/relationships/hyperlink" Target="http://skyves.ru/element/2495" TargetMode="External"/><Relationship Id="rId194" Type="http://schemas.openxmlformats.org/officeDocument/2006/relationships/hyperlink" Target="http://skyves.ru/element/2623" TargetMode="External"/><Relationship Id="rId199" Type="http://schemas.openxmlformats.org/officeDocument/2006/relationships/hyperlink" Target="http://skyves.ru/element/2488" TargetMode="External"/><Relationship Id="rId203" Type="http://schemas.openxmlformats.org/officeDocument/2006/relationships/hyperlink" Target="http://skyves.ru/element/2484" TargetMode="External"/><Relationship Id="rId208" Type="http://schemas.openxmlformats.org/officeDocument/2006/relationships/printerSettings" Target="../printerSettings/printerSettings7.bin"/><Relationship Id="rId19" Type="http://schemas.openxmlformats.org/officeDocument/2006/relationships/hyperlink" Target="http://skyves.ru/element/620" TargetMode="External"/><Relationship Id="rId14" Type="http://schemas.openxmlformats.org/officeDocument/2006/relationships/hyperlink" Target="http://skyves.ru/element/600" TargetMode="External"/><Relationship Id="rId30" Type="http://schemas.openxmlformats.org/officeDocument/2006/relationships/hyperlink" Target="http://skyves.ru/element/608" TargetMode="External"/><Relationship Id="rId35" Type="http://schemas.openxmlformats.org/officeDocument/2006/relationships/hyperlink" Target="http://skyves.ru/element/613" TargetMode="External"/><Relationship Id="rId56" Type="http://schemas.openxmlformats.org/officeDocument/2006/relationships/hyperlink" Target="http://skyves.ru/element/1931" TargetMode="External"/><Relationship Id="rId77" Type="http://schemas.openxmlformats.org/officeDocument/2006/relationships/hyperlink" Target="http://skyves.ru/element/1955" TargetMode="External"/><Relationship Id="rId100" Type="http://schemas.openxmlformats.org/officeDocument/2006/relationships/hyperlink" Target="http://skyves.ru/element/2082" TargetMode="External"/><Relationship Id="rId105" Type="http://schemas.openxmlformats.org/officeDocument/2006/relationships/hyperlink" Target="http://skyves.ru/element/2087" TargetMode="External"/><Relationship Id="rId126" Type="http://schemas.openxmlformats.org/officeDocument/2006/relationships/hyperlink" Target="http://skyves.ru/element/1392" TargetMode="External"/><Relationship Id="rId147" Type="http://schemas.openxmlformats.org/officeDocument/2006/relationships/hyperlink" Target="http://skyves.ru/element/633" TargetMode="External"/><Relationship Id="rId168" Type="http://schemas.openxmlformats.org/officeDocument/2006/relationships/hyperlink" Target="http://skyves.ru/element/605" TargetMode="External"/><Relationship Id="rId8" Type="http://schemas.openxmlformats.org/officeDocument/2006/relationships/hyperlink" Target="http://skyves.ru/element/597" TargetMode="External"/><Relationship Id="rId51" Type="http://schemas.openxmlformats.org/officeDocument/2006/relationships/hyperlink" Target="http://skyves.ru/element/1926" TargetMode="External"/><Relationship Id="rId72" Type="http://schemas.openxmlformats.org/officeDocument/2006/relationships/hyperlink" Target="http://skyves.ru/element/1950" TargetMode="External"/><Relationship Id="rId93" Type="http://schemas.openxmlformats.org/officeDocument/2006/relationships/hyperlink" Target="http://skyves.ru/element/2075" TargetMode="External"/><Relationship Id="rId98" Type="http://schemas.openxmlformats.org/officeDocument/2006/relationships/hyperlink" Target="http://skyves.ru/element/2080" TargetMode="External"/><Relationship Id="rId121" Type="http://schemas.openxmlformats.org/officeDocument/2006/relationships/hyperlink" Target="http://skyves.ru/element/1381" TargetMode="External"/><Relationship Id="rId142" Type="http://schemas.openxmlformats.org/officeDocument/2006/relationships/hyperlink" Target="http://skyves.ru/element/630" TargetMode="External"/><Relationship Id="rId163" Type="http://schemas.openxmlformats.org/officeDocument/2006/relationships/hyperlink" Target="http://skyves.ru/element/651" TargetMode="External"/><Relationship Id="rId184" Type="http://schemas.openxmlformats.org/officeDocument/2006/relationships/hyperlink" Target="http://skyves.ru/element/2506" TargetMode="External"/><Relationship Id="rId189" Type="http://schemas.openxmlformats.org/officeDocument/2006/relationships/hyperlink" Target="http://skyves.ru/element/2618" TargetMode="External"/><Relationship Id="rId3" Type="http://schemas.openxmlformats.org/officeDocument/2006/relationships/hyperlink" Target="http://skyves.ru/element/325" TargetMode="External"/><Relationship Id="rId25" Type="http://schemas.openxmlformats.org/officeDocument/2006/relationships/hyperlink" Target="http://skyves.ru/element/627" TargetMode="External"/><Relationship Id="rId46" Type="http://schemas.openxmlformats.org/officeDocument/2006/relationships/hyperlink" Target="http://skyves.ru/element/1921" TargetMode="External"/><Relationship Id="rId67" Type="http://schemas.openxmlformats.org/officeDocument/2006/relationships/hyperlink" Target="http://skyves.ru/element/1944" TargetMode="External"/><Relationship Id="rId116" Type="http://schemas.openxmlformats.org/officeDocument/2006/relationships/hyperlink" Target="http://skyves.ru/element/330" TargetMode="External"/><Relationship Id="rId137" Type="http://schemas.openxmlformats.org/officeDocument/2006/relationships/hyperlink" Target="http://skyves.ru/element/589" TargetMode="External"/><Relationship Id="rId158" Type="http://schemas.openxmlformats.org/officeDocument/2006/relationships/hyperlink" Target="http://skyves.ru/element/646" TargetMode="External"/><Relationship Id="rId20" Type="http://schemas.openxmlformats.org/officeDocument/2006/relationships/hyperlink" Target="http://skyves.ru/element/621" TargetMode="External"/><Relationship Id="rId41" Type="http://schemas.openxmlformats.org/officeDocument/2006/relationships/hyperlink" Target="http://skyves.ru/element/1867" TargetMode="External"/><Relationship Id="rId62" Type="http://schemas.openxmlformats.org/officeDocument/2006/relationships/hyperlink" Target="http://skyves.ru/element/1940" TargetMode="External"/><Relationship Id="rId83" Type="http://schemas.openxmlformats.org/officeDocument/2006/relationships/hyperlink" Target="http://skyves.ru/element/1962" TargetMode="External"/><Relationship Id="rId88" Type="http://schemas.openxmlformats.org/officeDocument/2006/relationships/hyperlink" Target="http://skyves.ru/element/2069" TargetMode="External"/><Relationship Id="rId111" Type="http://schemas.openxmlformats.org/officeDocument/2006/relationships/hyperlink" Target="http://skyves.ru/element/2095" TargetMode="External"/><Relationship Id="rId132" Type="http://schemas.openxmlformats.org/officeDocument/2006/relationships/hyperlink" Target="http://skyves.ru/element/581" TargetMode="External"/><Relationship Id="rId153" Type="http://schemas.openxmlformats.org/officeDocument/2006/relationships/hyperlink" Target="http://skyves.ru/element/642" TargetMode="External"/><Relationship Id="rId174" Type="http://schemas.openxmlformats.org/officeDocument/2006/relationships/hyperlink" Target="http://skyves.ru/element/2496" TargetMode="External"/><Relationship Id="rId179" Type="http://schemas.openxmlformats.org/officeDocument/2006/relationships/hyperlink" Target="http://skyves.ru/element/2501" TargetMode="External"/><Relationship Id="rId195" Type="http://schemas.openxmlformats.org/officeDocument/2006/relationships/hyperlink" Target="http://skyves.ru/element/2492" TargetMode="External"/><Relationship Id="rId209" Type="http://schemas.openxmlformats.org/officeDocument/2006/relationships/drawing" Target="../drawings/drawing6.xml"/><Relationship Id="rId190" Type="http://schemas.openxmlformats.org/officeDocument/2006/relationships/hyperlink" Target="http://skyves.ru/element/2620" TargetMode="External"/><Relationship Id="rId204" Type="http://schemas.openxmlformats.org/officeDocument/2006/relationships/hyperlink" Target="http://skyves.ru/element/2483" TargetMode="External"/><Relationship Id="rId15" Type="http://schemas.openxmlformats.org/officeDocument/2006/relationships/hyperlink" Target="http://skyves.ru/element/602" TargetMode="External"/><Relationship Id="rId36" Type="http://schemas.openxmlformats.org/officeDocument/2006/relationships/hyperlink" Target="http://skyves.ru/element/614" TargetMode="External"/><Relationship Id="rId57" Type="http://schemas.openxmlformats.org/officeDocument/2006/relationships/hyperlink" Target="http://skyves.ru/element/1934" TargetMode="External"/><Relationship Id="rId106" Type="http://schemas.openxmlformats.org/officeDocument/2006/relationships/hyperlink" Target="http://skyves.ru/element/2088" TargetMode="External"/><Relationship Id="rId127" Type="http://schemas.openxmlformats.org/officeDocument/2006/relationships/hyperlink" Target="http://skyves.ru/element/576" TargetMode="External"/><Relationship Id="rId10" Type="http://schemas.openxmlformats.org/officeDocument/2006/relationships/hyperlink" Target="http://skyves.ru/element/1690" TargetMode="External"/><Relationship Id="rId31" Type="http://schemas.openxmlformats.org/officeDocument/2006/relationships/hyperlink" Target="http://skyves.ru/element/609" TargetMode="External"/><Relationship Id="rId52" Type="http://schemas.openxmlformats.org/officeDocument/2006/relationships/hyperlink" Target="http://skyves.ru/element/1927" TargetMode="External"/><Relationship Id="rId73" Type="http://schemas.openxmlformats.org/officeDocument/2006/relationships/hyperlink" Target="http://skyves.ru/element/1951" TargetMode="External"/><Relationship Id="rId78" Type="http://schemas.openxmlformats.org/officeDocument/2006/relationships/hyperlink" Target="http://skyves.ru/element/1956" TargetMode="External"/><Relationship Id="rId94" Type="http://schemas.openxmlformats.org/officeDocument/2006/relationships/hyperlink" Target="http://skyves.ru/element/2076" TargetMode="External"/><Relationship Id="rId99" Type="http://schemas.openxmlformats.org/officeDocument/2006/relationships/hyperlink" Target="http://skyves.ru/element/2081" TargetMode="External"/><Relationship Id="rId101" Type="http://schemas.openxmlformats.org/officeDocument/2006/relationships/hyperlink" Target="http://skyves.ru/element/2083" TargetMode="External"/><Relationship Id="rId122" Type="http://schemas.openxmlformats.org/officeDocument/2006/relationships/hyperlink" Target="http://skyves.ru/element/1388" TargetMode="External"/><Relationship Id="rId143" Type="http://schemas.openxmlformats.org/officeDocument/2006/relationships/hyperlink" Target="http://skyves.ru/element/632" TargetMode="External"/><Relationship Id="rId148" Type="http://schemas.openxmlformats.org/officeDocument/2006/relationships/hyperlink" Target="http://skyves.ru/element/634" TargetMode="External"/><Relationship Id="rId164" Type="http://schemas.openxmlformats.org/officeDocument/2006/relationships/hyperlink" Target="http://skyves.ru/element/652" TargetMode="External"/><Relationship Id="rId169" Type="http://schemas.openxmlformats.org/officeDocument/2006/relationships/hyperlink" Target="http://skyves.ru/element/2342" TargetMode="External"/><Relationship Id="rId185" Type="http://schemas.openxmlformats.org/officeDocument/2006/relationships/hyperlink" Target="http://skyves.ru/element/2507" TargetMode="External"/><Relationship Id="rId4" Type="http://schemas.openxmlformats.org/officeDocument/2006/relationships/hyperlink" Target="http://skyves.ru/element/324" TargetMode="External"/><Relationship Id="rId9" Type="http://schemas.openxmlformats.org/officeDocument/2006/relationships/hyperlink" Target="http://skyves.ru/element/1689" TargetMode="External"/><Relationship Id="rId180" Type="http://schemas.openxmlformats.org/officeDocument/2006/relationships/hyperlink" Target="http://skyves.ru/element/2502" TargetMode="External"/><Relationship Id="rId210" Type="http://schemas.openxmlformats.org/officeDocument/2006/relationships/vmlDrawing" Target="../drawings/vmlDrawing1.vml"/><Relationship Id="rId26" Type="http://schemas.openxmlformats.org/officeDocument/2006/relationships/hyperlink" Target="http://skyves.ru/element/626" TargetMode="External"/><Relationship Id="rId47" Type="http://schemas.openxmlformats.org/officeDocument/2006/relationships/hyperlink" Target="http://skyves.ru/element/1922" TargetMode="External"/><Relationship Id="rId68" Type="http://schemas.openxmlformats.org/officeDocument/2006/relationships/hyperlink" Target="http://skyves.ru/element/1945" TargetMode="External"/><Relationship Id="rId89" Type="http://schemas.openxmlformats.org/officeDocument/2006/relationships/hyperlink" Target="http://skyves.ru/element/2071" TargetMode="External"/><Relationship Id="rId112" Type="http://schemas.openxmlformats.org/officeDocument/2006/relationships/hyperlink" Target="http://skyves.ru/element/2096" TargetMode="External"/><Relationship Id="rId133" Type="http://schemas.openxmlformats.org/officeDocument/2006/relationships/hyperlink" Target="http://skyves.ru/element/577" TargetMode="External"/><Relationship Id="rId154" Type="http://schemas.openxmlformats.org/officeDocument/2006/relationships/hyperlink" Target="http://skyves.ru/element/637" TargetMode="External"/><Relationship Id="rId175" Type="http://schemas.openxmlformats.org/officeDocument/2006/relationships/hyperlink" Target="http://skyves.ru/element/2497" TargetMode="External"/><Relationship Id="rId196" Type="http://schemas.openxmlformats.org/officeDocument/2006/relationships/hyperlink" Target="http://skyves.ru/element/2491" TargetMode="External"/><Relationship Id="rId200" Type="http://schemas.openxmlformats.org/officeDocument/2006/relationships/hyperlink" Target="http://skyves.ru/element/2487" TargetMode="External"/><Relationship Id="rId16" Type="http://schemas.openxmlformats.org/officeDocument/2006/relationships/hyperlink" Target="http://skyves.ru/element/603" TargetMode="External"/><Relationship Id="rId37" Type="http://schemas.openxmlformats.org/officeDocument/2006/relationships/hyperlink" Target="http://skyves.ru/element/615" TargetMode="External"/><Relationship Id="rId58" Type="http://schemas.openxmlformats.org/officeDocument/2006/relationships/hyperlink" Target="http://skyves.ru/element/1935" TargetMode="External"/><Relationship Id="rId79" Type="http://schemas.openxmlformats.org/officeDocument/2006/relationships/hyperlink" Target="http://skyves.ru/element/1957" TargetMode="External"/><Relationship Id="rId102" Type="http://schemas.openxmlformats.org/officeDocument/2006/relationships/hyperlink" Target="http://skyves.ru/element/2084" TargetMode="External"/><Relationship Id="rId123" Type="http://schemas.openxmlformats.org/officeDocument/2006/relationships/hyperlink" Target="http://skyves.ru/element/1389" TargetMode="External"/><Relationship Id="rId144" Type="http://schemas.openxmlformats.org/officeDocument/2006/relationships/hyperlink" Target="http://skyves.ru/element/639" TargetMode="External"/><Relationship Id="rId90" Type="http://schemas.openxmlformats.org/officeDocument/2006/relationships/hyperlink" Target="http://skyves.ru/element/2072" TargetMode="External"/><Relationship Id="rId165" Type="http://schemas.openxmlformats.org/officeDocument/2006/relationships/hyperlink" Target="http://skyves.ru/element/654" TargetMode="External"/><Relationship Id="rId186" Type="http://schemas.openxmlformats.org/officeDocument/2006/relationships/hyperlink" Target="http://skyves.ru/element/593" TargetMode="External"/><Relationship Id="rId211" Type="http://schemas.openxmlformats.org/officeDocument/2006/relationships/comments" Target="../comments1.xml"/><Relationship Id="rId27" Type="http://schemas.openxmlformats.org/officeDocument/2006/relationships/hyperlink" Target="http://skyves.ru/element/628" TargetMode="External"/><Relationship Id="rId48" Type="http://schemas.openxmlformats.org/officeDocument/2006/relationships/hyperlink" Target="http://skyves.ru/element/1923" TargetMode="External"/><Relationship Id="rId69" Type="http://schemas.openxmlformats.org/officeDocument/2006/relationships/hyperlink" Target="http://skyves.ru/element/1946" TargetMode="External"/><Relationship Id="rId113" Type="http://schemas.openxmlformats.org/officeDocument/2006/relationships/hyperlink" Target="http://skyves.ru/element/2097" TargetMode="External"/><Relationship Id="rId134" Type="http://schemas.openxmlformats.org/officeDocument/2006/relationships/hyperlink" Target="http://skyves.ru/element/578" TargetMode="External"/><Relationship Id="rId80" Type="http://schemas.openxmlformats.org/officeDocument/2006/relationships/hyperlink" Target="http://skyves.ru/element/1958" TargetMode="External"/><Relationship Id="rId155" Type="http://schemas.openxmlformats.org/officeDocument/2006/relationships/hyperlink" Target="http://skyves.ru/element/643" TargetMode="External"/><Relationship Id="rId176" Type="http://schemas.openxmlformats.org/officeDocument/2006/relationships/hyperlink" Target="http://skyves.ru/element/2498" TargetMode="External"/><Relationship Id="rId197" Type="http://schemas.openxmlformats.org/officeDocument/2006/relationships/hyperlink" Target="http://skyves.ru/element/2490" TargetMode="External"/><Relationship Id="rId201" Type="http://schemas.openxmlformats.org/officeDocument/2006/relationships/hyperlink" Target="http://skyves.ru/element/2486" TargetMode="External"/><Relationship Id="rId17" Type="http://schemas.openxmlformats.org/officeDocument/2006/relationships/hyperlink" Target="http://skyves.ru/element/604" TargetMode="External"/><Relationship Id="rId38" Type="http://schemas.openxmlformats.org/officeDocument/2006/relationships/hyperlink" Target="http://skyves.ru/element/617" TargetMode="External"/><Relationship Id="rId59" Type="http://schemas.openxmlformats.org/officeDocument/2006/relationships/hyperlink" Target="http://skyves.ru/element/1936" TargetMode="External"/><Relationship Id="rId103" Type="http://schemas.openxmlformats.org/officeDocument/2006/relationships/hyperlink" Target="http://skyves.ru/element/2085" TargetMode="External"/><Relationship Id="rId124" Type="http://schemas.openxmlformats.org/officeDocument/2006/relationships/hyperlink" Target="http://skyves.ru/element/1390" TargetMode="External"/><Relationship Id="rId70" Type="http://schemas.openxmlformats.org/officeDocument/2006/relationships/hyperlink" Target="http://skyves.ru/element/1947" TargetMode="External"/><Relationship Id="rId91" Type="http://schemas.openxmlformats.org/officeDocument/2006/relationships/hyperlink" Target="http://skyves.ru/element/2073" TargetMode="External"/><Relationship Id="rId145" Type="http://schemas.openxmlformats.org/officeDocument/2006/relationships/hyperlink" Target="http://skyves.ru/element/631" TargetMode="External"/><Relationship Id="rId166" Type="http://schemas.openxmlformats.org/officeDocument/2006/relationships/hyperlink" Target="http://skyves.ru/element/653" TargetMode="External"/><Relationship Id="rId187" Type="http://schemas.openxmlformats.org/officeDocument/2006/relationships/hyperlink" Target="http://skyves.ru/element/2602" TargetMode="External"/><Relationship Id="rId1" Type="http://schemas.openxmlformats.org/officeDocument/2006/relationships/hyperlink" Target="http://skyves.ru/element/327" TargetMode="External"/><Relationship Id="rId28" Type="http://schemas.openxmlformats.org/officeDocument/2006/relationships/hyperlink" Target="http://skyves.ru/element/606" TargetMode="External"/><Relationship Id="rId49" Type="http://schemas.openxmlformats.org/officeDocument/2006/relationships/hyperlink" Target="http://skyves.ru/element/1925" TargetMode="External"/><Relationship Id="rId114" Type="http://schemas.openxmlformats.org/officeDocument/2006/relationships/hyperlink" Target="http://skyves.ru/element/2098" TargetMode="External"/><Relationship Id="rId60" Type="http://schemas.openxmlformats.org/officeDocument/2006/relationships/hyperlink" Target="http://skyves.ru/element/1937" TargetMode="External"/><Relationship Id="rId81" Type="http://schemas.openxmlformats.org/officeDocument/2006/relationships/hyperlink" Target="http://skyves.ru/element/1959" TargetMode="External"/><Relationship Id="rId135" Type="http://schemas.openxmlformats.org/officeDocument/2006/relationships/hyperlink" Target="http://skyves.ru/element/579" TargetMode="External"/><Relationship Id="rId156" Type="http://schemas.openxmlformats.org/officeDocument/2006/relationships/hyperlink" Target="http://skyves.ru/element/644" TargetMode="External"/><Relationship Id="rId177" Type="http://schemas.openxmlformats.org/officeDocument/2006/relationships/hyperlink" Target="http://skyves.ru/element/2499" TargetMode="External"/><Relationship Id="rId198" Type="http://schemas.openxmlformats.org/officeDocument/2006/relationships/hyperlink" Target="http://skyves.ru/element/2489" TargetMode="External"/><Relationship Id="rId202" Type="http://schemas.openxmlformats.org/officeDocument/2006/relationships/hyperlink" Target="http://skyves.ru/element/2485" TargetMode="External"/><Relationship Id="rId18" Type="http://schemas.openxmlformats.org/officeDocument/2006/relationships/hyperlink" Target="http://skyves.ru/element/619" TargetMode="External"/><Relationship Id="rId39" Type="http://schemas.openxmlformats.org/officeDocument/2006/relationships/hyperlink" Target="http://skyves.ru/element/616" TargetMode="External"/><Relationship Id="rId50" Type="http://schemas.openxmlformats.org/officeDocument/2006/relationships/hyperlink" Target="http://skyves.ru/element/1924" TargetMode="External"/><Relationship Id="rId104" Type="http://schemas.openxmlformats.org/officeDocument/2006/relationships/hyperlink" Target="http://skyves.ru/element/2086" TargetMode="External"/><Relationship Id="rId125" Type="http://schemas.openxmlformats.org/officeDocument/2006/relationships/hyperlink" Target="http://skyves.ru/element/1391" TargetMode="External"/><Relationship Id="rId146" Type="http://schemas.openxmlformats.org/officeDocument/2006/relationships/hyperlink" Target="http://skyves.ru/element/638" TargetMode="External"/><Relationship Id="rId167" Type="http://schemas.openxmlformats.org/officeDocument/2006/relationships/hyperlink" Target="http://skyves.ru/element/655" TargetMode="External"/><Relationship Id="rId188" Type="http://schemas.openxmlformats.org/officeDocument/2006/relationships/hyperlink" Target="http://skyves.ru/element/2603" TargetMode="External"/><Relationship Id="rId71" Type="http://schemas.openxmlformats.org/officeDocument/2006/relationships/hyperlink" Target="http://skyves.ru/element/1949" TargetMode="External"/><Relationship Id="rId92" Type="http://schemas.openxmlformats.org/officeDocument/2006/relationships/hyperlink" Target="http://skyves.ru/element/2074" TargetMode="External"/><Relationship Id="rId2" Type="http://schemas.openxmlformats.org/officeDocument/2006/relationships/hyperlink" Target="http://skyves.ru/element/326" TargetMode="External"/><Relationship Id="rId29" Type="http://schemas.openxmlformats.org/officeDocument/2006/relationships/hyperlink" Target="http://skyves.ru/element/607" TargetMode="External"/><Relationship Id="rId40" Type="http://schemas.openxmlformats.org/officeDocument/2006/relationships/hyperlink" Target="http://skyves.ru/element/618" TargetMode="External"/><Relationship Id="rId115" Type="http://schemas.openxmlformats.org/officeDocument/2006/relationships/hyperlink" Target="http://skyves.ru/element/2099" TargetMode="External"/><Relationship Id="rId136" Type="http://schemas.openxmlformats.org/officeDocument/2006/relationships/hyperlink" Target="http://skyves.ru/element/588" TargetMode="External"/><Relationship Id="rId157" Type="http://schemas.openxmlformats.org/officeDocument/2006/relationships/hyperlink" Target="http://skyves.ru/element/645" TargetMode="External"/><Relationship Id="rId178" Type="http://schemas.openxmlformats.org/officeDocument/2006/relationships/hyperlink" Target="http://skyves.ru/element/2500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458" TargetMode="External"/><Relationship Id="rId117" Type="http://schemas.openxmlformats.org/officeDocument/2006/relationships/hyperlink" Target="http://skyves.ru/element/275" TargetMode="External"/><Relationship Id="rId21" Type="http://schemas.openxmlformats.org/officeDocument/2006/relationships/hyperlink" Target="http://skyves.ru/element/456" TargetMode="External"/><Relationship Id="rId42" Type="http://schemas.openxmlformats.org/officeDocument/2006/relationships/hyperlink" Target="http://skyves.ru/element/1610" TargetMode="External"/><Relationship Id="rId47" Type="http://schemas.openxmlformats.org/officeDocument/2006/relationships/hyperlink" Target="http://skyves.ru/element/274" TargetMode="External"/><Relationship Id="rId63" Type="http://schemas.openxmlformats.org/officeDocument/2006/relationships/hyperlink" Target="http://skyves.ru/element/236" TargetMode="External"/><Relationship Id="rId68" Type="http://schemas.openxmlformats.org/officeDocument/2006/relationships/hyperlink" Target="http://skyves.ru/element/184" TargetMode="External"/><Relationship Id="rId84" Type="http://schemas.openxmlformats.org/officeDocument/2006/relationships/hyperlink" Target="http://skyves.ru/element/1613" TargetMode="External"/><Relationship Id="rId89" Type="http://schemas.openxmlformats.org/officeDocument/2006/relationships/hyperlink" Target="http://skyves.ru/element/1621" TargetMode="External"/><Relationship Id="rId112" Type="http://schemas.openxmlformats.org/officeDocument/2006/relationships/hyperlink" Target="http://skyves.ru/element/2516" TargetMode="External"/><Relationship Id="rId16" Type="http://schemas.openxmlformats.org/officeDocument/2006/relationships/hyperlink" Target="http://skyves.ru/element/448" TargetMode="External"/><Relationship Id="rId107" Type="http://schemas.openxmlformats.org/officeDocument/2006/relationships/hyperlink" Target="http://skyves.ru/element/2511" TargetMode="External"/><Relationship Id="rId11" Type="http://schemas.openxmlformats.org/officeDocument/2006/relationships/hyperlink" Target="http://skyves.ru/element/439" TargetMode="External"/><Relationship Id="rId32" Type="http://schemas.openxmlformats.org/officeDocument/2006/relationships/hyperlink" Target="http://skyves.ru/element/1600" TargetMode="External"/><Relationship Id="rId37" Type="http://schemas.openxmlformats.org/officeDocument/2006/relationships/hyperlink" Target="http://skyves.ru/element/1605" TargetMode="External"/><Relationship Id="rId53" Type="http://schemas.openxmlformats.org/officeDocument/2006/relationships/hyperlink" Target="http://skyves.ru/element/272" TargetMode="External"/><Relationship Id="rId58" Type="http://schemas.openxmlformats.org/officeDocument/2006/relationships/hyperlink" Target="http://skyves.ru/element/259" TargetMode="External"/><Relationship Id="rId74" Type="http://schemas.openxmlformats.org/officeDocument/2006/relationships/hyperlink" Target="http://skyves.ru/element/190" TargetMode="External"/><Relationship Id="rId79" Type="http://schemas.openxmlformats.org/officeDocument/2006/relationships/hyperlink" Target="http://skyves.ru/element/1376" TargetMode="External"/><Relationship Id="rId102" Type="http://schemas.openxmlformats.org/officeDocument/2006/relationships/hyperlink" Target="http://skyves.ru/element/2478" TargetMode="External"/><Relationship Id="rId123" Type="http://schemas.openxmlformats.org/officeDocument/2006/relationships/drawing" Target="../drawings/drawing7.xml"/><Relationship Id="rId5" Type="http://schemas.openxmlformats.org/officeDocument/2006/relationships/hyperlink" Target="http://skyves.ru/element/125" TargetMode="External"/><Relationship Id="rId90" Type="http://schemas.openxmlformats.org/officeDocument/2006/relationships/hyperlink" Target="http://skyves.ru/element/1622" TargetMode="External"/><Relationship Id="rId95" Type="http://schemas.openxmlformats.org/officeDocument/2006/relationships/hyperlink" Target="http://skyves.ru/element/1624" TargetMode="External"/><Relationship Id="rId22" Type="http://schemas.openxmlformats.org/officeDocument/2006/relationships/hyperlink" Target="http://skyves.ru/element/457" TargetMode="External"/><Relationship Id="rId27" Type="http://schemas.openxmlformats.org/officeDocument/2006/relationships/hyperlink" Target="http://skyves.ru/element/450" TargetMode="External"/><Relationship Id="rId43" Type="http://schemas.openxmlformats.org/officeDocument/2006/relationships/hyperlink" Target="http://skyves.ru/element/265" TargetMode="External"/><Relationship Id="rId48" Type="http://schemas.openxmlformats.org/officeDocument/2006/relationships/hyperlink" Target="http://skyves.ru/element/270" TargetMode="External"/><Relationship Id="rId64" Type="http://schemas.openxmlformats.org/officeDocument/2006/relationships/hyperlink" Target="http://skyves.ru/element/237" TargetMode="External"/><Relationship Id="rId69" Type="http://schemas.openxmlformats.org/officeDocument/2006/relationships/hyperlink" Target="http://skyves.ru/element/185" TargetMode="External"/><Relationship Id="rId113" Type="http://schemas.openxmlformats.org/officeDocument/2006/relationships/hyperlink" Target="http://skyves.ru/element/2517" TargetMode="External"/><Relationship Id="rId118" Type="http://schemas.openxmlformats.org/officeDocument/2006/relationships/hyperlink" Target="http://skyves.ru/element/2578" TargetMode="External"/><Relationship Id="rId80" Type="http://schemas.openxmlformats.org/officeDocument/2006/relationships/hyperlink" Target="http://skyves.ru/element/2016" TargetMode="External"/><Relationship Id="rId85" Type="http://schemas.openxmlformats.org/officeDocument/2006/relationships/hyperlink" Target="http://skyves.ru/element/1617" TargetMode="External"/><Relationship Id="rId12" Type="http://schemas.openxmlformats.org/officeDocument/2006/relationships/hyperlink" Target="http://skyves.ru/element/440" TargetMode="External"/><Relationship Id="rId17" Type="http://schemas.openxmlformats.org/officeDocument/2006/relationships/hyperlink" Target="http://skyves.ru/element/449" TargetMode="External"/><Relationship Id="rId33" Type="http://schemas.openxmlformats.org/officeDocument/2006/relationships/hyperlink" Target="http://skyves.ru/element/1601" TargetMode="External"/><Relationship Id="rId38" Type="http://schemas.openxmlformats.org/officeDocument/2006/relationships/hyperlink" Target="http://skyves.ru/element/1606" TargetMode="External"/><Relationship Id="rId59" Type="http://schemas.openxmlformats.org/officeDocument/2006/relationships/hyperlink" Target="http://skyves.ru/element/263" TargetMode="External"/><Relationship Id="rId103" Type="http://schemas.openxmlformats.org/officeDocument/2006/relationships/hyperlink" Target="http://skyves.ru/element/2479" TargetMode="External"/><Relationship Id="rId108" Type="http://schemas.openxmlformats.org/officeDocument/2006/relationships/hyperlink" Target="http://skyves.ru/element/2512" TargetMode="External"/><Relationship Id="rId54" Type="http://schemas.openxmlformats.org/officeDocument/2006/relationships/hyperlink" Target="http://skyves.ru/element/257" TargetMode="External"/><Relationship Id="rId70" Type="http://schemas.openxmlformats.org/officeDocument/2006/relationships/hyperlink" Target="http://skyves.ru/element/186" TargetMode="External"/><Relationship Id="rId75" Type="http://schemas.openxmlformats.org/officeDocument/2006/relationships/hyperlink" Target="http://skyves.ru/element/191" TargetMode="External"/><Relationship Id="rId91" Type="http://schemas.openxmlformats.org/officeDocument/2006/relationships/hyperlink" Target="http://skyves.ru/element/1626" TargetMode="External"/><Relationship Id="rId96" Type="http://schemas.openxmlformats.org/officeDocument/2006/relationships/hyperlink" Target="http://skyves.ru/element/1625" TargetMode="External"/><Relationship Id="rId1" Type="http://schemas.openxmlformats.org/officeDocument/2006/relationships/hyperlink" Target="http://skyves.ru/element/119" TargetMode="External"/><Relationship Id="rId6" Type="http://schemas.openxmlformats.org/officeDocument/2006/relationships/hyperlink" Target="http://skyves.ru/element/117" TargetMode="External"/><Relationship Id="rId23" Type="http://schemas.openxmlformats.org/officeDocument/2006/relationships/hyperlink" Target="http://skyves.ru/element/461" TargetMode="External"/><Relationship Id="rId28" Type="http://schemas.openxmlformats.org/officeDocument/2006/relationships/hyperlink" Target="http://skyves.ru/element/451" TargetMode="External"/><Relationship Id="rId49" Type="http://schemas.openxmlformats.org/officeDocument/2006/relationships/hyperlink" Target="http://skyves.ru/element/267" TargetMode="External"/><Relationship Id="rId114" Type="http://schemas.openxmlformats.org/officeDocument/2006/relationships/hyperlink" Target="http://skyves.ru/element/2518" TargetMode="External"/><Relationship Id="rId119" Type="http://schemas.openxmlformats.org/officeDocument/2006/relationships/hyperlink" Target="http://skyves.ru/element/2579" TargetMode="External"/><Relationship Id="rId44" Type="http://schemas.openxmlformats.org/officeDocument/2006/relationships/hyperlink" Target="http://skyves.ru/element/266" TargetMode="External"/><Relationship Id="rId60" Type="http://schemas.openxmlformats.org/officeDocument/2006/relationships/hyperlink" Target="http://skyves.ru/element/260" TargetMode="External"/><Relationship Id="rId65" Type="http://schemas.openxmlformats.org/officeDocument/2006/relationships/hyperlink" Target="http://skyves.ru/element/238" TargetMode="External"/><Relationship Id="rId81" Type="http://schemas.openxmlformats.org/officeDocument/2006/relationships/hyperlink" Target="http://skyves.ru/element/2017" TargetMode="External"/><Relationship Id="rId86" Type="http://schemas.openxmlformats.org/officeDocument/2006/relationships/hyperlink" Target="http://skyves.ru/element/1618" TargetMode="External"/><Relationship Id="rId4" Type="http://schemas.openxmlformats.org/officeDocument/2006/relationships/hyperlink" Target="http://skyves.ru/element/124" TargetMode="External"/><Relationship Id="rId9" Type="http://schemas.openxmlformats.org/officeDocument/2006/relationships/hyperlink" Target="http://skyves.ru/element/123" TargetMode="External"/><Relationship Id="rId13" Type="http://schemas.openxmlformats.org/officeDocument/2006/relationships/hyperlink" Target="http://skyves.ru/element/441" TargetMode="External"/><Relationship Id="rId18" Type="http://schemas.openxmlformats.org/officeDocument/2006/relationships/hyperlink" Target="http://skyves.ru/element/442" TargetMode="External"/><Relationship Id="rId39" Type="http://schemas.openxmlformats.org/officeDocument/2006/relationships/hyperlink" Target="http://skyves.ru/element/1607" TargetMode="External"/><Relationship Id="rId109" Type="http://schemas.openxmlformats.org/officeDocument/2006/relationships/hyperlink" Target="http://skyves.ru/element/2513" TargetMode="External"/><Relationship Id="rId34" Type="http://schemas.openxmlformats.org/officeDocument/2006/relationships/hyperlink" Target="http://skyves.ru/element/1602" TargetMode="External"/><Relationship Id="rId50" Type="http://schemas.openxmlformats.org/officeDocument/2006/relationships/hyperlink" Target="http://skyves.ru/element/271" TargetMode="External"/><Relationship Id="rId55" Type="http://schemas.openxmlformats.org/officeDocument/2006/relationships/hyperlink" Target="http://skyves.ru/element/261" TargetMode="External"/><Relationship Id="rId76" Type="http://schemas.openxmlformats.org/officeDocument/2006/relationships/hyperlink" Target="http://skyves.ru/element/1373" TargetMode="External"/><Relationship Id="rId97" Type="http://schemas.openxmlformats.org/officeDocument/2006/relationships/hyperlink" Target="http://skyves.ru/element/443" TargetMode="External"/><Relationship Id="rId104" Type="http://schemas.openxmlformats.org/officeDocument/2006/relationships/hyperlink" Target="http://skyves.ru/element/2508" TargetMode="External"/><Relationship Id="rId120" Type="http://schemas.openxmlformats.org/officeDocument/2006/relationships/hyperlink" Target="../../../AppData/Roaming/Microsoft/Excel/&#1058;&#1042;-S-60.2-A013" TargetMode="External"/><Relationship Id="rId7" Type="http://schemas.openxmlformats.org/officeDocument/2006/relationships/hyperlink" Target="http://skyves.ru/element/118" TargetMode="External"/><Relationship Id="rId71" Type="http://schemas.openxmlformats.org/officeDocument/2006/relationships/hyperlink" Target="http://skyves.ru/element/187" TargetMode="External"/><Relationship Id="rId92" Type="http://schemas.openxmlformats.org/officeDocument/2006/relationships/hyperlink" Target="http://skyves.ru/element/1627" TargetMode="External"/><Relationship Id="rId2" Type="http://schemas.openxmlformats.org/officeDocument/2006/relationships/hyperlink" Target="http://skyves.ru/element/120" TargetMode="External"/><Relationship Id="rId29" Type="http://schemas.openxmlformats.org/officeDocument/2006/relationships/hyperlink" Target="http://skyves.ru/element/452" TargetMode="External"/><Relationship Id="rId24" Type="http://schemas.openxmlformats.org/officeDocument/2006/relationships/hyperlink" Target="http://skyves.ru/element/460" TargetMode="External"/><Relationship Id="rId40" Type="http://schemas.openxmlformats.org/officeDocument/2006/relationships/hyperlink" Target="http://skyves.ru/element/1608" TargetMode="External"/><Relationship Id="rId45" Type="http://schemas.openxmlformats.org/officeDocument/2006/relationships/hyperlink" Target="http://skyves.ru/element/273" TargetMode="External"/><Relationship Id="rId66" Type="http://schemas.openxmlformats.org/officeDocument/2006/relationships/hyperlink" Target="http://skyves.ru/element/182" TargetMode="External"/><Relationship Id="rId87" Type="http://schemas.openxmlformats.org/officeDocument/2006/relationships/hyperlink" Target="http://skyves.ru/element/1619" TargetMode="External"/><Relationship Id="rId110" Type="http://schemas.openxmlformats.org/officeDocument/2006/relationships/hyperlink" Target="http://skyves.ru/element/2514" TargetMode="External"/><Relationship Id="rId115" Type="http://schemas.openxmlformats.org/officeDocument/2006/relationships/hyperlink" Target="http://skyves.ru/element/2519" TargetMode="External"/><Relationship Id="rId61" Type="http://schemas.openxmlformats.org/officeDocument/2006/relationships/hyperlink" Target="http://skyves.ru/element/264" TargetMode="External"/><Relationship Id="rId82" Type="http://schemas.openxmlformats.org/officeDocument/2006/relationships/hyperlink" Target="http://skyves.ru/element/1611" TargetMode="External"/><Relationship Id="rId19" Type="http://schemas.openxmlformats.org/officeDocument/2006/relationships/hyperlink" Target="http://skyves.ru/element/454" TargetMode="External"/><Relationship Id="rId14" Type="http://schemas.openxmlformats.org/officeDocument/2006/relationships/hyperlink" Target="http://skyves.ru/element/446" TargetMode="External"/><Relationship Id="rId30" Type="http://schemas.openxmlformats.org/officeDocument/2006/relationships/hyperlink" Target="http://skyves.ru/element/453" TargetMode="External"/><Relationship Id="rId35" Type="http://schemas.openxmlformats.org/officeDocument/2006/relationships/hyperlink" Target="http://skyves.ru/element/1603" TargetMode="External"/><Relationship Id="rId56" Type="http://schemas.openxmlformats.org/officeDocument/2006/relationships/hyperlink" Target="http://skyves.ru/element/258" TargetMode="External"/><Relationship Id="rId77" Type="http://schemas.openxmlformats.org/officeDocument/2006/relationships/hyperlink" Target="http://skyves.ru/element/1374" TargetMode="External"/><Relationship Id="rId100" Type="http://schemas.openxmlformats.org/officeDocument/2006/relationships/hyperlink" Target="http://skyves.ru/element/2476" TargetMode="External"/><Relationship Id="rId105" Type="http://schemas.openxmlformats.org/officeDocument/2006/relationships/hyperlink" Target="http://skyves.ru/element/2509" TargetMode="External"/><Relationship Id="rId8" Type="http://schemas.openxmlformats.org/officeDocument/2006/relationships/hyperlink" Target="http://skyves.ru/element/122" TargetMode="External"/><Relationship Id="rId51" Type="http://schemas.openxmlformats.org/officeDocument/2006/relationships/hyperlink" Target="http://skyves.ru/element/268" TargetMode="External"/><Relationship Id="rId72" Type="http://schemas.openxmlformats.org/officeDocument/2006/relationships/hyperlink" Target="http://skyves.ru/element/188" TargetMode="External"/><Relationship Id="rId93" Type="http://schemas.openxmlformats.org/officeDocument/2006/relationships/hyperlink" Target="http://skyves.ru/element/1628" TargetMode="External"/><Relationship Id="rId98" Type="http://schemas.openxmlformats.org/officeDocument/2006/relationships/hyperlink" Target="http://skyves.ru/element/445" TargetMode="External"/><Relationship Id="rId121" Type="http://schemas.openxmlformats.org/officeDocument/2006/relationships/hyperlink" Target="http://skyves.ru/element/2581" TargetMode="External"/><Relationship Id="rId3" Type="http://schemas.openxmlformats.org/officeDocument/2006/relationships/hyperlink" Target="http://skyves.ru/element/121" TargetMode="External"/><Relationship Id="rId25" Type="http://schemas.openxmlformats.org/officeDocument/2006/relationships/hyperlink" Target="http://skyves.ru/element/459" TargetMode="External"/><Relationship Id="rId46" Type="http://schemas.openxmlformats.org/officeDocument/2006/relationships/hyperlink" Target="http://skyves.ru/element/269" TargetMode="External"/><Relationship Id="rId67" Type="http://schemas.openxmlformats.org/officeDocument/2006/relationships/hyperlink" Target="http://skyves.ru/element/183" TargetMode="External"/><Relationship Id="rId116" Type="http://schemas.openxmlformats.org/officeDocument/2006/relationships/hyperlink" Target="http://skyves.ru/element/444" TargetMode="External"/><Relationship Id="rId20" Type="http://schemas.openxmlformats.org/officeDocument/2006/relationships/hyperlink" Target="http://skyves.ru/element/455" TargetMode="External"/><Relationship Id="rId41" Type="http://schemas.openxmlformats.org/officeDocument/2006/relationships/hyperlink" Target="http://skyves.ru/element/1609" TargetMode="External"/><Relationship Id="rId62" Type="http://schemas.openxmlformats.org/officeDocument/2006/relationships/hyperlink" Target="http://skyves.ru/element/181" TargetMode="External"/><Relationship Id="rId83" Type="http://schemas.openxmlformats.org/officeDocument/2006/relationships/hyperlink" Target="http://skyves.ru/element/1612" TargetMode="External"/><Relationship Id="rId88" Type="http://schemas.openxmlformats.org/officeDocument/2006/relationships/hyperlink" Target="http://skyves.ru/element/1620" TargetMode="External"/><Relationship Id="rId111" Type="http://schemas.openxmlformats.org/officeDocument/2006/relationships/hyperlink" Target="http://skyves.ru/element/2515" TargetMode="External"/><Relationship Id="rId15" Type="http://schemas.openxmlformats.org/officeDocument/2006/relationships/hyperlink" Target="http://skyves.ru/element/447" TargetMode="External"/><Relationship Id="rId36" Type="http://schemas.openxmlformats.org/officeDocument/2006/relationships/hyperlink" Target="http://skyves.ru/element/1604" TargetMode="External"/><Relationship Id="rId57" Type="http://schemas.openxmlformats.org/officeDocument/2006/relationships/hyperlink" Target="http://skyves.ru/element/262" TargetMode="External"/><Relationship Id="rId106" Type="http://schemas.openxmlformats.org/officeDocument/2006/relationships/hyperlink" Target="http://skyves.ru/element/2510" TargetMode="External"/><Relationship Id="rId10" Type="http://schemas.openxmlformats.org/officeDocument/2006/relationships/hyperlink" Target="http://skyves.ru/element/438" TargetMode="External"/><Relationship Id="rId31" Type="http://schemas.openxmlformats.org/officeDocument/2006/relationships/hyperlink" Target="http://skyves.ru/element/1599" TargetMode="External"/><Relationship Id="rId52" Type="http://schemas.openxmlformats.org/officeDocument/2006/relationships/hyperlink" Target="http://skyves.ru/element/276" TargetMode="External"/><Relationship Id="rId73" Type="http://schemas.openxmlformats.org/officeDocument/2006/relationships/hyperlink" Target="http://skyves.ru/element/189" TargetMode="External"/><Relationship Id="rId78" Type="http://schemas.openxmlformats.org/officeDocument/2006/relationships/hyperlink" Target="http://skyves.ru/element/1375" TargetMode="External"/><Relationship Id="rId94" Type="http://schemas.openxmlformats.org/officeDocument/2006/relationships/hyperlink" Target="http://skyves.ru/element/1623" TargetMode="External"/><Relationship Id="rId99" Type="http://schemas.openxmlformats.org/officeDocument/2006/relationships/hyperlink" Target="http://skyves.ru/element/2475" TargetMode="External"/><Relationship Id="rId101" Type="http://schemas.openxmlformats.org/officeDocument/2006/relationships/hyperlink" Target="http://skyves.ru/element/2477" TargetMode="External"/><Relationship Id="rId122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://skyves.ru/element/92" TargetMode="External"/><Relationship Id="rId21" Type="http://schemas.openxmlformats.org/officeDocument/2006/relationships/hyperlink" Target="http://skyves.ru/element/87" TargetMode="External"/><Relationship Id="rId42" Type="http://schemas.openxmlformats.org/officeDocument/2006/relationships/hyperlink" Target="http://skyves.ru/element/1383" TargetMode="External"/><Relationship Id="rId47" Type="http://schemas.openxmlformats.org/officeDocument/2006/relationships/hyperlink" Target="http://skyves.ru/element/96" TargetMode="External"/><Relationship Id="rId63" Type="http://schemas.openxmlformats.org/officeDocument/2006/relationships/hyperlink" Target="http://skyves.ru/element/108" TargetMode="External"/><Relationship Id="rId68" Type="http://schemas.openxmlformats.org/officeDocument/2006/relationships/hyperlink" Target="http://skyves.ru/element/2018" TargetMode="External"/><Relationship Id="rId84" Type="http://schemas.openxmlformats.org/officeDocument/2006/relationships/hyperlink" Target="http://skyves.ru/element/83" TargetMode="External"/><Relationship Id="rId89" Type="http://schemas.openxmlformats.org/officeDocument/2006/relationships/hyperlink" Target="http://skyves.ru/element/2319" TargetMode="External"/><Relationship Id="rId16" Type="http://schemas.openxmlformats.org/officeDocument/2006/relationships/hyperlink" Target="http://skyves.ru/element/64" TargetMode="External"/><Relationship Id="rId11" Type="http://schemas.openxmlformats.org/officeDocument/2006/relationships/hyperlink" Target="http://skyves.ru/element/61" TargetMode="External"/><Relationship Id="rId32" Type="http://schemas.openxmlformats.org/officeDocument/2006/relationships/hyperlink" Target="http://skyves.ru/element/158" TargetMode="External"/><Relationship Id="rId37" Type="http://schemas.openxmlformats.org/officeDocument/2006/relationships/hyperlink" Target="http://skyves.ru/element/1916" TargetMode="External"/><Relationship Id="rId53" Type="http://schemas.openxmlformats.org/officeDocument/2006/relationships/hyperlink" Target="http://skyves.ru/element/102" TargetMode="External"/><Relationship Id="rId58" Type="http://schemas.openxmlformats.org/officeDocument/2006/relationships/hyperlink" Target="http://skyves.ru/element/114" TargetMode="External"/><Relationship Id="rId74" Type="http://schemas.openxmlformats.org/officeDocument/2006/relationships/hyperlink" Target="http://skyves.ru/element/2024" TargetMode="External"/><Relationship Id="rId79" Type="http://schemas.openxmlformats.org/officeDocument/2006/relationships/hyperlink" Target="http://skyves.ru/element/79" TargetMode="External"/><Relationship Id="rId102" Type="http://schemas.openxmlformats.org/officeDocument/2006/relationships/hyperlink" Target="http://skyves.ru/element/2306" TargetMode="External"/><Relationship Id="rId5" Type="http://schemas.openxmlformats.org/officeDocument/2006/relationships/hyperlink" Target="http://skyves.ru/element/56" TargetMode="External"/><Relationship Id="rId90" Type="http://schemas.openxmlformats.org/officeDocument/2006/relationships/hyperlink" Target="http://skyves.ru/element/2318" TargetMode="External"/><Relationship Id="rId95" Type="http://schemas.openxmlformats.org/officeDocument/2006/relationships/hyperlink" Target="http://skyves.ru/element/2313" TargetMode="External"/><Relationship Id="rId22" Type="http://schemas.openxmlformats.org/officeDocument/2006/relationships/hyperlink" Target="http://skyves.ru/element/88" TargetMode="External"/><Relationship Id="rId27" Type="http://schemas.openxmlformats.org/officeDocument/2006/relationships/hyperlink" Target="http://skyves.ru/element/93" TargetMode="External"/><Relationship Id="rId43" Type="http://schemas.openxmlformats.org/officeDocument/2006/relationships/hyperlink" Target="http://skyves.ru/element/1386" TargetMode="External"/><Relationship Id="rId48" Type="http://schemas.openxmlformats.org/officeDocument/2006/relationships/hyperlink" Target="http://skyves.ru/element/97" TargetMode="External"/><Relationship Id="rId64" Type="http://schemas.openxmlformats.org/officeDocument/2006/relationships/hyperlink" Target="http://skyves.ru/element/109" TargetMode="External"/><Relationship Id="rId69" Type="http://schemas.openxmlformats.org/officeDocument/2006/relationships/hyperlink" Target="http://skyves.ru/element/2019" TargetMode="External"/><Relationship Id="rId80" Type="http://schemas.openxmlformats.org/officeDocument/2006/relationships/hyperlink" Target="http://skyves.ru/element/80" TargetMode="External"/><Relationship Id="rId85" Type="http://schemas.openxmlformats.org/officeDocument/2006/relationships/hyperlink" Target="http://skyves.ru/element/85" TargetMode="External"/><Relationship Id="rId12" Type="http://schemas.openxmlformats.org/officeDocument/2006/relationships/hyperlink" Target="http://skyves.ru/element/62" TargetMode="External"/><Relationship Id="rId17" Type="http://schemas.openxmlformats.org/officeDocument/2006/relationships/hyperlink" Target="http://skyves.ru/element/69" TargetMode="External"/><Relationship Id="rId33" Type="http://schemas.openxmlformats.org/officeDocument/2006/relationships/hyperlink" Target="http://skyves.ru/element/155" TargetMode="External"/><Relationship Id="rId38" Type="http://schemas.openxmlformats.org/officeDocument/2006/relationships/hyperlink" Target="http://skyves.ru/element/2" TargetMode="External"/><Relationship Id="rId59" Type="http://schemas.openxmlformats.org/officeDocument/2006/relationships/hyperlink" Target="http://skyves.ru/element/115" TargetMode="External"/><Relationship Id="rId103" Type="http://schemas.openxmlformats.org/officeDocument/2006/relationships/hyperlink" Target="http://skyves.ru/element/2305" TargetMode="External"/><Relationship Id="rId20" Type="http://schemas.openxmlformats.org/officeDocument/2006/relationships/hyperlink" Target="http://skyves.ru/element/86" TargetMode="External"/><Relationship Id="rId41" Type="http://schemas.openxmlformats.org/officeDocument/2006/relationships/hyperlink" Target="http://skyves.ru/element/1384" TargetMode="External"/><Relationship Id="rId54" Type="http://schemas.openxmlformats.org/officeDocument/2006/relationships/hyperlink" Target="http://skyves.ru/element/103" TargetMode="External"/><Relationship Id="rId62" Type="http://schemas.openxmlformats.org/officeDocument/2006/relationships/hyperlink" Target="http://skyves.ru/element/107" TargetMode="External"/><Relationship Id="rId70" Type="http://schemas.openxmlformats.org/officeDocument/2006/relationships/hyperlink" Target="http://skyves.ru/element/2020" TargetMode="External"/><Relationship Id="rId75" Type="http://schemas.openxmlformats.org/officeDocument/2006/relationships/hyperlink" Target="http://skyves.ru/element/2025" TargetMode="External"/><Relationship Id="rId83" Type="http://schemas.openxmlformats.org/officeDocument/2006/relationships/hyperlink" Target="http://skyves.ru/element/84" TargetMode="External"/><Relationship Id="rId88" Type="http://schemas.openxmlformats.org/officeDocument/2006/relationships/hyperlink" Target="http://skyves.ru/element/2320" TargetMode="External"/><Relationship Id="rId91" Type="http://schemas.openxmlformats.org/officeDocument/2006/relationships/hyperlink" Target="http://skyves.ru/element/2317" TargetMode="External"/><Relationship Id="rId96" Type="http://schemas.openxmlformats.org/officeDocument/2006/relationships/hyperlink" Target="http://skyves.ru/element/2312" TargetMode="External"/><Relationship Id="rId1" Type="http://schemas.openxmlformats.org/officeDocument/2006/relationships/hyperlink" Target="http://skyves.ru/element/51" TargetMode="External"/><Relationship Id="rId6" Type="http://schemas.openxmlformats.org/officeDocument/2006/relationships/hyperlink" Target="http://skyves.ru/element/57" TargetMode="External"/><Relationship Id="rId15" Type="http://schemas.openxmlformats.org/officeDocument/2006/relationships/hyperlink" Target="http://skyves.ru/element/68" TargetMode="External"/><Relationship Id="rId23" Type="http://schemas.openxmlformats.org/officeDocument/2006/relationships/hyperlink" Target="http://skyves.ru/element/89" TargetMode="External"/><Relationship Id="rId28" Type="http://schemas.openxmlformats.org/officeDocument/2006/relationships/hyperlink" Target="http://skyves.ru/element/94" TargetMode="External"/><Relationship Id="rId36" Type="http://schemas.openxmlformats.org/officeDocument/2006/relationships/hyperlink" Target="http://skyves.ru/element/160" TargetMode="External"/><Relationship Id="rId49" Type="http://schemas.openxmlformats.org/officeDocument/2006/relationships/hyperlink" Target="http://skyves.ru/element/99" TargetMode="External"/><Relationship Id="rId57" Type="http://schemas.openxmlformats.org/officeDocument/2006/relationships/hyperlink" Target="http://skyves.ru/element/113" TargetMode="External"/><Relationship Id="rId10" Type="http://schemas.openxmlformats.org/officeDocument/2006/relationships/hyperlink" Target="http://skyves.ru/element/60" TargetMode="External"/><Relationship Id="rId31" Type="http://schemas.openxmlformats.org/officeDocument/2006/relationships/hyperlink" Target="http://skyves.ru/element/153" TargetMode="External"/><Relationship Id="rId44" Type="http://schemas.openxmlformats.org/officeDocument/2006/relationships/hyperlink" Target="http://skyves.ru/element/1387" TargetMode="External"/><Relationship Id="rId52" Type="http://schemas.openxmlformats.org/officeDocument/2006/relationships/hyperlink" Target="http://skyves.ru/element/101" TargetMode="External"/><Relationship Id="rId60" Type="http://schemas.openxmlformats.org/officeDocument/2006/relationships/hyperlink" Target="http://skyves.ru/element/105" TargetMode="External"/><Relationship Id="rId65" Type="http://schemas.openxmlformats.org/officeDocument/2006/relationships/hyperlink" Target="http://skyves.ru/element/110" TargetMode="External"/><Relationship Id="rId73" Type="http://schemas.openxmlformats.org/officeDocument/2006/relationships/hyperlink" Target="http://skyves.ru/element/2023" TargetMode="External"/><Relationship Id="rId78" Type="http://schemas.openxmlformats.org/officeDocument/2006/relationships/hyperlink" Target="http://skyves.ru/element/78" TargetMode="External"/><Relationship Id="rId81" Type="http://schemas.openxmlformats.org/officeDocument/2006/relationships/hyperlink" Target="http://skyves.ru/element/81" TargetMode="External"/><Relationship Id="rId86" Type="http://schemas.openxmlformats.org/officeDocument/2006/relationships/hyperlink" Target="http://skyves.ru/element/2322" TargetMode="External"/><Relationship Id="rId94" Type="http://schemas.openxmlformats.org/officeDocument/2006/relationships/hyperlink" Target="http://skyves.ru/element/2314" TargetMode="External"/><Relationship Id="rId99" Type="http://schemas.openxmlformats.org/officeDocument/2006/relationships/hyperlink" Target="http://skyves.ru/element/2309" TargetMode="External"/><Relationship Id="rId101" Type="http://schemas.openxmlformats.org/officeDocument/2006/relationships/hyperlink" Target="http://skyves.ru/element/2307" TargetMode="External"/><Relationship Id="rId4" Type="http://schemas.openxmlformats.org/officeDocument/2006/relationships/hyperlink" Target="http://skyves.ru/element/55" TargetMode="External"/><Relationship Id="rId9" Type="http://schemas.openxmlformats.org/officeDocument/2006/relationships/hyperlink" Target="http://skyves.ru/element/59" TargetMode="External"/><Relationship Id="rId13" Type="http://schemas.openxmlformats.org/officeDocument/2006/relationships/hyperlink" Target="http://skyves.ru/element/63" TargetMode="External"/><Relationship Id="rId18" Type="http://schemas.openxmlformats.org/officeDocument/2006/relationships/hyperlink" Target="http://skyves.ru/element/65" TargetMode="External"/><Relationship Id="rId39" Type="http://schemas.openxmlformats.org/officeDocument/2006/relationships/hyperlink" Target="http://skyves.ru/element/3" TargetMode="External"/><Relationship Id="rId34" Type="http://schemas.openxmlformats.org/officeDocument/2006/relationships/hyperlink" Target="http://skyves.ru/element/159" TargetMode="External"/><Relationship Id="rId50" Type="http://schemas.openxmlformats.org/officeDocument/2006/relationships/hyperlink" Target="http://skyves.ru/element/100" TargetMode="External"/><Relationship Id="rId55" Type="http://schemas.openxmlformats.org/officeDocument/2006/relationships/hyperlink" Target="http://skyves.ru/element/104" TargetMode="External"/><Relationship Id="rId76" Type="http://schemas.openxmlformats.org/officeDocument/2006/relationships/hyperlink" Target="http://skyves.ru/element/2026" TargetMode="External"/><Relationship Id="rId97" Type="http://schemas.openxmlformats.org/officeDocument/2006/relationships/hyperlink" Target="http://skyves.ru/element/2311" TargetMode="External"/><Relationship Id="rId104" Type="http://schemas.openxmlformats.org/officeDocument/2006/relationships/printerSettings" Target="../printerSettings/printerSettings9.bin"/><Relationship Id="rId7" Type="http://schemas.openxmlformats.org/officeDocument/2006/relationships/hyperlink" Target="http://skyves.ru/element/54" TargetMode="External"/><Relationship Id="rId71" Type="http://schemas.openxmlformats.org/officeDocument/2006/relationships/hyperlink" Target="http://skyves.ru/element/2021" TargetMode="External"/><Relationship Id="rId92" Type="http://schemas.openxmlformats.org/officeDocument/2006/relationships/hyperlink" Target="http://skyves.ru/element/2316" TargetMode="External"/><Relationship Id="rId2" Type="http://schemas.openxmlformats.org/officeDocument/2006/relationships/hyperlink" Target="http://skyves.ru/element/52" TargetMode="External"/><Relationship Id="rId29" Type="http://schemas.openxmlformats.org/officeDocument/2006/relationships/hyperlink" Target="http://skyves.ru/element/150" TargetMode="External"/><Relationship Id="rId24" Type="http://schemas.openxmlformats.org/officeDocument/2006/relationships/hyperlink" Target="http://skyves.ru/element/90" TargetMode="External"/><Relationship Id="rId40" Type="http://schemas.openxmlformats.org/officeDocument/2006/relationships/hyperlink" Target="http://skyves.ru/element/1382" TargetMode="External"/><Relationship Id="rId45" Type="http://schemas.openxmlformats.org/officeDocument/2006/relationships/hyperlink" Target="http://skyves.ru/element/1385" TargetMode="External"/><Relationship Id="rId66" Type="http://schemas.openxmlformats.org/officeDocument/2006/relationships/hyperlink" Target="http://skyves.ru/element/111" TargetMode="External"/><Relationship Id="rId87" Type="http://schemas.openxmlformats.org/officeDocument/2006/relationships/hyperlink" Target="http://skyves.ru/element/2321" TargetMode="External"/><Relationship Id="rId61" Type="http://schemas.openxmlformats.org/officeDocument/2006/relationships/hyperlink" Target="http://skyves.ru/element/116" TargetMode="External"/><Relationship Id="rId82" Type="http://schemas.openxmlformats.org/officeDocument/2006/relationships/hyperlink" Target="http://skyves.ru/element/82" TargetMode="External"/><Relationship Id="rId19" Type="http://schemas.openxmlformats.org/officeDocument/2006/relationships/hyperlink" Target="http://skyves.ru/element/66" TargetMode="External"/><Relationship Id="rId14" Type="http://schemas.openxmlformats.org/officeDocument/2006/relationships/hyperlink" Target="http://skyves.ru/element/67" TargetMode="External"/><Relationship Id="rId30" Type="http://schemas.openxmlformats.org/officeDocument/2006/relationships/hyperlink" Target="http://skyves.ru/element/157" TargetMode="External"/><Relationship Id="rId35" Type="http://schemas.openxmlformats.org/officeDocument/2006/relationships/hyperlink" Target="http://skyves.ru/element/156" TargetMode="External"/><Relationship Id="rId56" Type="http://schemas.openxmlformats.org/officeDocument/2006/relationships/hyperlink" Target="http://skyves.ru/element/106" TargetMode="External"/><Relationship Id="rId77" Type="http://schemas.openxmlformats.org/officeDocument/2006/relationships/hyperlink" Target="http://skyves.ru/element/2027" TargetMode="External"/><Relationship Id="rId100" Type="http://schemas.openxmlformats.org/officeDocument/2006/relationships/hyperlink" Target="http://skyves.ru/element/2308" TargetMode="External"/><Relationship Id="rId105" Type="http://schemas.openxmlformats.org/officeDocument/2006/relationships/drawing" Target="../drawings/drawing8.xml"/><Relationship Id="rId8" Type="http://schemas.openxmlformats.org/officeDocument/2006/relationships/hyperlink" Target="http://skyves.ru/element/58" TargetMode="External"/><Relationship Id="rId51" Type="http://schemas.openxmlformats.org/officeDocument/2006/relationships/hyperlink" Target="http://skyves.ru/element/98" TargetMode="External"/><Relationship Id="rId72" Type="http://schemas.openxmlformats.org/officeDocument/2006/relationships/hyperlink" Target="http://skyves.ru/element/2022" TargetMode="External"/><Relationship Id="rId93" Type="http://schemas.openxmlformats.org/officeDocument/2006/relationships/hyperlink" Target="http://skyves.ru/element/2315" TargetMode="External"/><Relationship Id="rId98" Type="http://schemas.openxmlformats.org/officeDocument/2006/relationships/hyperlink" Target="http://skyves.ru/element/2310" TargetMode="External"/><Relationship Id="rId3" Type="http://schemas.openxmlformats.org/officeDocument/2006/relationships/hyperlink" Target="http://skyves.ru/element/53" TargetMode="External"/><Relationship Id="rId25" Type="http://schemas.openxmlformats.org/officeDocument/2006/relationships/hyperlink" Target="http://skyves.ru/element/91" TargetMode="External"/><Relationship Id="rId46" Type="http://schemas.openxmlformats.org/officeDocument/2006/relationships/hyperlink" Target="http://skyves.ru/element/95" TargetMode="External"/><Relationship Id="rId67" Type="http://schemas.openxmlformats.org/officeDocument/2006/relationships/hyperlink" Target="http://skyves.ru/element/112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skyves.ru/element/381" TargetMode="External"/><Relationship Id="rId21" Type="http://schemas.openxmlformats.org/officeDocument/2006/relationships/hyperlink" Target="http://skyves.ru/element/388" TargetMode="External"/><Relationship Id="rId42" Type="http://schemas.openxmlformats.org/officeDocument/2006/relationships/hyperlink" Target="http://skyves.ru/element/418" TargetMode="External"/><Relationship Id="rId63" Type="http://schemas.openxmlformats.org/officeDocument/2006/relationships/hyperlink" Target="http://skyves.ru/element/2046" TargetMode="External"/><Relationship Id="rId84" Type="http://schemas.openxmlformats.org/officeDocument/2006/relationships/hyperlink" Target="http://skyves.ru/element/1" TargetMode="External"/><Relationship Id="rId138" Type="http://schemas.openxmlformats.org/officeDocument/2006/relationships/hyperlink" Target="http://skyves.ru/element/2059" TargetMode="External"/><Relationship Id="rId159" Type="http://schemas.openxmlformats.org/officeDocument/2006/relationships/hyperlink" Target="http://skyves.ru/element/2272" TargetMode="External"/><Relationship Id="rId170" Type="http://schemas.openxmlformats.org/officeDocument/2006/relationships/hyperlink" Target="http://skyves.ru/element/2616" TargetMode="External"/><Relationship Id="rId107" Type="http://schemas.openxmlformats.org/officeDocument/2006/relationships/hyperlink" Target="http://skyves.ru/element/367" TargetMode="External"/><Relationship Id="rId11" Type="http://schemas.openxmlformats.org/officeDocument/2006/relationships/hyperlink" Target="http://skyves.ru/element/383" TargetMode="External"/><Relationship Id="rId32" Type="http://schemas.openxmlformats.org/officeDocument/2006/relationships/hyperlink" Target="http://skyves.ru/element/2040" TargetMode="External"/><Relationship Id="rId53" Type="http://schemas.openxmlformats.org/officeDocument/2006/relationships/hyperlink" Target="http://skyves.ru/element/426" TargetMode="External"/><Relationship Id="rId74" Type="http://schemas.openxmlformats.org/officeDocument/2006/relationships/hyperlink" Target="http://skyves.ru/element/248" TargetMode="External"/><Relationship Id="rId128" Type="http://schemas.openxmlformats.org/officeDocument/2006/relationships/hyperlink" Target="http://skyves.ru/element/2049" TargetMode="External"/><Relationship Id="rId149" Type="http://schemas.openxmlformats.org/officeDocument/2006/relationships/hyperlink" Target="http://skyves.ru/element/2247" TargetMode="External"/><Relationship Id="rId5" Type="http://schemas.openxmlformats.org/officeDocument/2006/relationships/hyperlink" Target="http://skyves.ru/element/35" TargetMode="External"/><Relationship Id="rId95" Type="http://schemas.openxmlformats.org/officeDocument/2006/relationships/hyperlink" Target="http://skyves.ru/element/208" TargetMode="External"/><Relationship Id="rId160" Type="http://schemas.openxmlformats.org/officeDocument/2006/relationships/hyperlink" Target="http://skyves.ru/element/2273" TargetMode="External"/><Relationship Id="rId22" Type="http://schemas.openxmlformats.org/officeDocument/2006/relationships/hyperlink" Target="http://skyves.ru/element/379" TargetMode="External"/><Relationship Id="rId43" Type="http://schemas.openxmlformats.org/officeDocument/2006/relationships/hyperlink" Target="http://skyves.ru/element/419" TargetMode="External"/><Relationship Id="rId64" Type="http://schemas.openxmlformats.org/officeDocument/2006/relationships/hyperlink" Target="http://skyves.ru/element/2047" TargetMode="External"/><Relationship Id="rId118" Type="http://schemas.openxmlformats.org/officeDocument/2006/relationships/hyperlink" Target="http://skyves.ru/element/2031" TargetMode="External"/><Relationship Id="rId139" Type="http://schemas.openxmlformats.org/officeDocument/2006/relationships/hyperlink" Target="http://skyves.ru/element/2060" TargetMode="External"/><Relationship Id="rId85" Type="http://schemas.openxmlformats.org/officeDocument/2006/relationships/hyperlink" Target="http://skyves.ru/element/149" TargetMode="External"/><Relationship Id="rId150" Type="http://schemas.openxmlformats.org/officeDocument/2006/relationships/hyperlink" Target="http://skyves.ru/element/2263" TargetMode="External"/><Relationship Id="rId171" Type="http://schemas.openxmlformats.org/officeDocument/2006/relationships/hyperlink" Target="http://skyves.ru/element/2617" TargetMode="External"/><Relationship Id="rId12" Type="http://schemas.openxmlformats.org/officeDocument/2006/relationships/hyperlink" Target="http://skyves.ru/element/375" TargetMode="External"/><Relationship Id="rId33" Type="http://schemas.openxmlformats.org/officeDocument/2006/relationships/hyperlink" Target="http://skyves.ru/element/2041" TargetMode="External"/><Relationship Id="rId108" Type="http://schemas.openxmlformats.org/officeDocument/2006/relationships/hyperlink" Target="http://skyves.ru/element/368" TargetMode="External"/><Relationship Id="rId129" Type="http://schemas.openxmlformats.org/officeDocument/2006/relationships/hyperlink" Target="http://skyves.ru/element/2050" TargetMode="External"/><Relationship Id="rId54" Type="http://schemas.openxmlformats.org/officeDocument/2006/relationships/hyperlink" Target="http://skyves.ru/element/427" TargetMode="External"/><Relationship Id="rId75" Type="http://schemas.openxmlformats.org/officeDocument/2006/relationships/hyperlink" Target="http://skyves.ru/element/249" TargetMode="External"/><Relationship Id="rId96" Type="http://schemas.openxmlformats.org/officeDocument/2006/relationships/hyperlink" Target="http://skyves.ru/element/210" TargetMode="External"/><Relationship Id="rId140" Type="http://schemas.openxmlformats.org/officeDocument/2006/relationships/hyperlink" Target="http://skyves.ru/element/2061" TargetMode="External"/><Relationship Id="rId161" Type="http://schemas.openxmlformats.org/officeDocument/2006/relationships/hyperlink" Target="http://skyves.ru/element/2607" TargetMode="External"/><Relationship Id="rId1" Type="http://schemas.openxmlformats.org/officeDocument/2006/relationships/hyperlink" Target="http://skyves.ru/element/31" TargetMode="External"/><Relationship Id="rId6" Type="http://schemas.openxmlformats.org/officeDocument/2006/relationships/hyperlink" Target="http://skyves.ru/element/1691" TargetMode="External"/><Relationship Id="rId23" Type="http://schemas.openxmlformats.org/officeDocument/2006/relationships/hyperlink" Target="http://skyves.ru/element/389" TargetMode="External"/><Relationship Id="rId28" Type="http://schemas.openxmlformats.org/officeDocument/2006/relationships/hyperlink" Target="http://skyves.ru/element/663" TargetMode="External"/><Relationship Id="rId49" Type="http://schemas.openxmlformats.org/officeDocument/2006/relationships/hyperlink" Target="http://skyves.ru/element/425" TargetMode="External"/><Relationship Id="rId114" Type="http://schemas.openxmlformats.org/officeDocument/2006/relationships/hyperlink" Target="http://skyves.ru/element/281" TargetMode="External"/><Relationship Id="rId119" Type="http://schemas.openxmlformats.org/officeDocument/2006/relationships/hyperlink" Target="http://skyves.ru/element/2032" TargetMode="External"/><Relationship Id="rId44" Type="http://schemas.openxmlformats.org/officeDocument/2006/relationships/hyperlink" Target="http://skyves.ru/element/420" TargetMode="External"/><Relationship Id="rId60" Type="http://schemas.openxmlformats.org/officeDocument/2006/relationships/hyperlink" Target="http://skyves.ru/element/437" TargetMode="External"/><Relationship Id="rId65" Type="http://schemas.openxmlformats.org/officeDocument/2006/relationships/hyperlink" Target="http://skyves.ru/element/462" TargetMode="External"/><Relationship Id="rId81" Type="http://schemas.openxmlformats.org/officeDocument/2006/relationships/hyperlink" Target="http://skyves.ru/element/252" TargetMode="External"/><Relationship Id="rId86" Type="http://schemas.openxmlformats.org/officeDocument/2006/relationships/hyperlink" Target="http://skyves.ru/element/195" TargetMode="External"/><Relationship Id="rId130" Type="http://schemas.openxmlformats.org/officeDocument/2006/relationships/hyperlink" Target="http://skyves.ru/element/2051" TargetMode="External"/><Relationship Id="rId135" Type="http://schemas.openxmlformats.org/officeDocument/2006/relationships/hyperlink" Target="http://skyves.ru/element/2050" TargetMode="External"/><Relationship Id="rId151" Type="http://schemas.openxmlformats.org/officeDocument/2006/relationships/hyperlink" Target="http://skyves.ru/element/2264" TargetMode="External"/><Relationship Id="rId156" Type="http://schemas.openxmlformats.org/officeDocument/2006/relationships/hyperlink" Target="http://skyves.ru/element/2266" TargetMode="External"/><Relationship Id="rId172" Type="http://schemas.openxmlformats.org/officeDocument/2006/relationships/printerSettings" Target="../printerSettings/printerSettings10.bin"/><Relationship Id="rId13" Type="http://schemas.openxmlformats.org/officeDocument/2006/relationships/hyperlink" Target="http://skyves.ru/element/385" TargetMode="External"/><Relationship Id="rId18" Type="http://schemas.openxmlformats.org/officeDocument/2006/relationships/hyperlink" Target="http://skyves.ru/element/377" TargetMode="External"/><Relationship Id="rId39" Type="http://schemas.openxmlformats.org/officeDocument/2006/relationships/hyperlink" Target="http://skyves.ru/element/415" TargetMode="External"/><Relationship Id="rId109" Type="http://schemas.openxmlformats.org/officeDocument/2006/relationships/hyperlink" Target="http://skyves.ru/element/364" TargetMode="External"/><Relationship Id="rId34" Type="http://schemas.openxmlformats.org/officeDocument/2006/relationships/hyperlink" Target="http://skyves.ru/element/2042" TargetMode="External"/><Relationship Id="rId50" Type="http://schemas.openxmlformats.org/officeDocument/2006/relationships/hyperlink" Target="http://skyves.ru/element/431" TargetMode="External"/><Relationship Id="rId55" Type="http://schemas.openxmlformats.org/officeDocument/2006/relationships/hyperlink" Target="http://skyves.ru/element/428" TargetMode="External"/><Relationship Id="rId76" Type="http://schemas.openxmlformats.org/officeDocument/2006/relationships/hyperlink" Target="http://skyves.ru/element/250" TargetMode="External"/><Relationship Id="rId97" Type="http://schemas.openxmlformats.org/officeDocument/2006/relationships/hyperlink" Target="http://skyves.ru/element/204" TargetMode="External"/><Relationship Id="rId104" Type="http://schemas.openxmlformats.org/officeDocument/2006/relationships/hyperlink" Target="http://skyves.ru/element/290" TargetMode="External"/><Relationship Id="rId120" Type="http://schemas.openxmlformats.org/officeDocument/2006/relationships/hyperlink" Target="http://skyves.ru/element/2033" TargetMode="External"/><Relationship Id="rId125" Type="http://schemas.openxmlformats.org/officeDocument/2006/relationships/hyperlink" Target="http://skyves.ru/element/2038" TargetMode="External"/><Relationship Id="rId141" Type="http://schemas.openxmlformats.org/officeDocument/2006/relationships/hyperlink" Target="http://skyves.ru/element/2062" TargetMode="External"/><Relationship Id="rId146" Type="http://schemas.openxmlformats.org/officeDocument/2006/relationships/hyperlink" Target="http://skyves.ru/element/2067" TargetMode="External"/><Relationship Id="rId167" Type="http://schemas.openxmlformats.org/officeDocument/2006/relationships/hyperlink" Target="http://skyves.ru/element/2613" TargetMode="External"/><Relationship Id="rId7" Type="http://schemas.openxmlformats.org/officeDocument/2006/relationships/hyperlink" Target="http://skyves.ru/element/36" TargetMode="External"/><Relationship Id="rId71" Type="http://schemas.openxmlformats.org/officeDocument/2006/relationships/hyperlink" Target="http://skyves.ru/element/245" TargetMode="External"/><Relationship Id="rId92" Type="http://schemas.openxmlformats.org/officeDocument/2006/relationships/hyperlink" Target="http://skyves.ru/element/201" TargetMode="External"/><Relationship Id="rId162" Type="http://schemas.openxmlformats.org/officeDocument/2006/relationships/hyperlink" Target="http://skyves.ru/element/2608" TargetMode="External"/><Relationship Id="rId2" Type="http://schemas.openxmlformats.org/officeDocument/2006/relationships/hyperlink" Target="http://skyves.ru/element/32" TargetMode="External"/><Relationship Id="rId29" Type="http://schemas.openxmlformats.org/officeDocument/2006/relationships/hyperlink" Target="http://skyves.ru/element/664" TargetMode="External"/><Relationship Id="rId24" Type="http://schemas.openxmlformats.org/officeDocument/2006/relationships/hyperlink" Target="http://skyves.ru/element/391" TargetMode="External"/><Relationship Id="rId40" Type="http://schemas.openxmlformats.org/officeDocument/2006/relationships/hyperlink" Target="http://skyves.ru/element/416" TargetMode="External"/><Relationship Id="rId45" Type="http://schemas.openxmlformats.org/officeDocument/2006/relationships/hyperlink" Target="http://skyves.ru/element/421" TargetMode="External"/><Relationship Id="rId66" Type="http://schemas.openxmlformats.org/officeDocument/2006/relationships/hyperlink" Target="http://skyves.ru/element/463" TargetMode="External"/><Relationship Id="rId87" Type="http://schemas.openxmlformats.org/officeDocument/2006/relationships/hyperlink" Target="http://skyves.ru/element/196" TargetMode="External"/><Relationship Id="rId110" Type="http://schemas.openxmlformats.org/officeDocument/2006/relationships/hyperlink" Target="http://skyves.ru/element/365" TargetMode="External"/><Relationship Id="rId115" Type="http://schemas.openxmlformats.org/officeDocument/2006/relationships/hyperlink" Target="http://skyves.ru/element/2028" TargetMode="External"/><Relationship Id="rId131" Type="http://schemas.openxmlformats.org/officeDocument/2006/relationships/hyperlink" Target="http://skyves.ru/element/2052" TargetMode="External"/><Relationship Id="rId136" Type="http://schemas.openxmlformats.org/officeDocument/2006/relationships/hyperlink" Target="http://skyves.ru/element/2057" TargetMode="External"/><Relationship Id="rId157" Type="http://schemas.openxmlformats.org/officeDocument/2006/relationships/hyperlink" Target="http://skyves.ru/element/2270" TargetMode="External"/><Relationship Id="rId61" Type="http://schemas.openxmlformats.org/officeDocument/2006/relationships/hyperlink" Target="http://skyves.ru/element/2044" TargetMode="External"/><Relationship Id="rId82" Type="http://schemas.openxmlformats.org/officeDocument/2006/relationships/hyperlink" Target="http://skyves.ru/element/253" TargetMode="External"/><Relationship Id="rId152" Type="http://schemas.openxmlformats.org/officeDocument/2006/relationships/hyperlink" Target="http://skyves.ru/element/2265" TargetMode="External"/><Relationship Id="rId173" Type="http://schemas.openxmlformats.org/officeDocument/2006/relationships/drawing" Target="../drawings/drawing9.xml"/><Relationship Id="rId19" Type="http://schemas.openxmlformats.org/officeDocument/2006/relationships/hyperlink" Target="http://skyves.ru/element/387" TargetMode="External"/><Relationship Id="rId14" Type="http://schemas.openxmlformats.org/officeDocument/2006/relationships/hyperlink" Target="http://skyves.ru/element/374" TargetMode="External"/><Relationship Id="rId30" Type="http://schemas.openxmlformats.org/officeDocument/2006/relationships/hyperlink" Target="http://skyves.ru/element/665" TargetMode="External"/><Relationship Id="rId35" Type="http://schemas.openxmlformats.org/officeDocument/2006/relationships/hyperlink" Target="http://skyves.ru/element/2043" TargetMode="External"/><Relationship Id="rId56" Type="http://schemas.openxmlformats.org/officeDocument/2006/relationships/hyperlink" Target="http://skyves.ru/element/430" TargetMode="External"/><Relationship Id="rId77" Type="http://schemas.openxmlformats.org/officeDocument/2006/relationships/hyperlink" Target="http://skyves.ru/element/251" TargetMode="External"/><Relationship Id="rId100" Type="http://schemas.openxmlformats.org/officeDocument/2006/relationships/hyperlink" Target="http://skyves.ru/element/212" TargetMode="External"/><Relationship Id="rId105" Type="http://schemas.openxmlformats.org/officeDocument/2006/relationships/hyperlink" Target="http://skyves.ru/element/289" TargetMode="External"/><Relationship Id="rId126" Type="http://schemas.openxmlformats.org/officeDocument/2006/relationships/hyperlink" Target="http://skyves.ru/element/2039" TargetMode="External"/><Relationship Id="rId147" Type="http://schemas.openxmlformats.org/officeDocument/2006/relationships/hyperlink" Target="http://skyves.ru/element/2068" TargetMode="External"/><Relationship Id="rId168" Type="http://schemas.openxmlformats.org/officeDocument/2006/relationships/hyperlink" Target="http://skyves.ru/element/2614" TargetMode="External"/><Relationship Id="rId8" Type="http://schemas.openxmlformats.org/officeDocument/2006/relationships/hyperlink" Target="http://skyves.ru/element/372" TargetMode="External"/><Relationship Id="rId51" Type="http://schemas.openxmlformats.org/officeDocument/2006/relationships/hyperlink" Target="http://skyves.ru/element/432" TargetMode="External"/><Relationship Id="rId72" Type="http://schemas.openxmlformats.org/officeDocument/2006/relationships/hyperlink" Target="http://skyves.ru/element/246" TargetMode="External"/><Relationship Id="rId93" Type="http://schemas.openxmlformats.org/officeDocument/2006/relationships/hyperlink" Target="http://skyves.ru/element/202" TargetMode="External"/><Relationship Id="rId98" Type="http://schemas.openxmlformats.org/officeDocument/2006/relationships/hyperlink" Target="http://skyves.ru/element/211" TargetMode="External"/><Relationship Id="rId121" Type="http://schemas.openxmlformats.org/officeDocument/2006/relationships/hyperlink" Target="http://skyves.ru/element/2034" TargetMode="External"/><Relationship Id="rId142" Type="http://schemas.openxmlformats.org/officeDocument/2006/relationships/hyperlink" Target="http://skyves.ru/element/2063" TargetMode="External"/><Relationship Id="rId163" Type="http://schemas.openxmlformats.org/officeDocument/2006/relationships/hyperlink" Target="http://skyves.ru/element/index/17?YII_CSRF_TOKEN=3b1a60b74234d19e7a4bc6fa99733423e6e849bc&amp;userFields%5Bvendor%5D%5B%5D=CAS&amp;userFields%5Bnpv%5D%5B%5D=6/15+&#1082;&#1075;&amp;filter%5Bnpv%5D%5B%5D=6/15+&#1082;&#1075;&amp;filter%5Bvendor%5D%5B%5D=CAS" TargetMode="External"/><Relationship Id="rId3" Type="http://schemas.openxmlformats.org/officeDocument/2006/relationships/hyperlink" Target="http://skyves.ru/element/33" TargetMode="External"/><Relationship Id="rId25" Type="http://schemas.openxmlformats.org/officeDocument/2006/relationships/hyperlink" Target="http://skyves.ru/element/660" TargetMode="External"/><Relationship Id="rId46" Type="http://schemas.openxmlformats.org/officeDocument/2006/relationships/hyperlink" Target="http://skyves.ru/element/422" TargetMode="External"/><Relationship Id="rId67" Type="http://schemas.openxmlformats.org/officeDocument/2006/relationships/hyperlink" Target="http://skyves.ru/element/464" TargetMode="External"/><Relationship Id="rId116" Type="http://schemas.openxmlformats.org/officeDocument/2006/relationships/hyperlink" Target="http://skyves.ru/element/2029" TargetMode="External"/><Relationship Id="rId137" Type="http://schemas.openxmlformats.org/officeDocument/2006/relationships/hyperlink" Target="http://skyves.ru/element/2058" TargetMode="External"/><Relationship Id="rId158" Type="http://schemas.openxmlformats.org/officeDocument/2006/relationships/hyperlink" Target="http://skyves.ru/element/2271" TargetMode="External"/><Relationship Id="rId20" Type="http://schemas.openxmlformats.org/officeDocument/2006/relationships/hyperlink" Target="http://skyves.ru/element/378" TargetMode="External"/><Relationship Id="rId41" Type="http://schemas.openxmlformats.org/officeDocument/2006/relationships/hyperlink" Target="http://skyves.ru/element/417" TargetMode="External"/><Relationship Id="rId62" Type="http://schemas.openxmlformats.org/officeDocument/2006/relationships/hyperlink" Target="http://skyves.ru/element/2045" TargetMode="External"/><Relationship Id="rId83" Type="http://schemas.openxmlformats.org/officeDocument/2006/relationships/hyperlink" Target="http://skyves.ru/element/254" TargetMode="External"/><Relationship Id="rId88" Type="http://schemas.openxmlformats.org/officeDocument/2006/relationships/hyperlink" Target="http://skyves.ru/element/197" TargetMode="External"/><Relationship Id="rId111" Type="http://schemas.openxmlformats.org/officeDocument/2006/relationships/hyperlink" Target="http://skyves.ru/element/366" TargetMode="External"/><Relationship Id="rId132" Type="http://schemas.openxmlformats.org/officeDocument/2006/relationships/hyperlink" Target="http://skyves.ru/element/2053" TargetMode="External"/><Relationship Id="rId153" Type="http://schemas.openxmlformats.org/officeDocument/2006/relationships/hyperlink" Target="http://skyves.ru/element/2267" TargetMode="External"/><Relationship Id="rId15" Type="http://schemas.openxmlformats.org/officeDocument/2006/relationships/hyperlink" Target="http://skyves.ru/element/384" TargetMode="External"/><Relationship Id="rId36" Type="http://schemas.openxmlformats.org/officeDocument/2006/relationships/hyperlink" Target="http://skyves.ru/element/412" TargetMode="External"/><Relationship Id="rId57" Type="http://schemas.openxmlformats.org/officeDocument/2006/relationships/hyperlink" Target="http://skyves.ru/element/434" TargetMode="External"/><Relationship Id="rId106" Type="http://schemas.openxmlformats.org/officeDocument/2006/relationships/hyperlink" Target="http://skyves.ru/element/390" TargetMode="External"/><Relationship Id="rId127" Type="http://schemas.openxmlformats.org/officeDocument/2006/relationships/hyperlink" Target="http://skyves.ru/element/2048" TargetMode="External"/><Relationship Id="rId10" Type="http://schemas.openxmlformats.org/officeDocument/2006/relationships/hyperlink" Target="http://skyves.ru/element/373" TargetMode="External"/><Relationship Id="rId31" Type="http://schemas.openxmlformats.org/officeDocument/2006/relationships/hyperlink" Target="http://skyves.ru/element/666" TargetMode="External"/><Relationship Id="rId52" Type="http://schemas.openxmlformats.org/officeDocument/2006/relationships/hyperlink" Target="http://skyves.ru/element/433" TargetMode="External"/><Relationship Id="rId73" Type="http://schemas.openxmlformats.org/officeDocument/2006/relationships/hyperlink" Target="http://skyves.ru/element/247" TargetMode="External"/><Relationship Id="rId78" Type="http://schemas.openxmlformats.org/officeDocument/2006/relationships/hyperlink" Target="http://skyves.ru/element/288" TargetMode="External"/><Relationship Id="rId94" Type="http://schemas.openxmlformats.org/officeDocument/2006/relationships/hyperlink" Target="http://skyves.ru/element/203" TargetMode="External"/><Relationship Id="rId99" Type="http://schemas.openxmlformats.org/officeDocument/2006/relationships/hyperlink" Target="http://skyves.ru/element/205" TargetMode="External"/><Relationship Id="rId101" Type="http://schemas.openxmlformats.org/officeDocument/2006/relationships/hyperlink" Target="http://skyves.ru/element/206" TargetMode="External"/><Relationship Id="rId122" Type="http://schemas.openxmlformats.org/officeDocument/2006/relationships/hyperlink" Target="http://skyves.ru/element/2035" TargetMode="External"/><Relationship Id="rId143" Type="http://schemas.openxmlformats.org/officeDocument/2006/relationships/hyperlink" Target="http://skyves.ru/element/2064" TargetMode="External"/><Relationship Id="rId148" Type="http://schemas.openxmlformats.org/officeDocument/2006/relationships/hyperlink" Target="http://skyves.ru/element/2246" TargetMode="External"/><Relationship Id="rId164" Type="http://schemas.openxmlformats.org/officeDocument/2006/relationships/hyperlink" Target="http://skyves.ru/element/2610" TargetMode="External"/><Relationship Id="rId169" Type="http://schemas.openxmlformats.org/officeDocument/2006/relationships/hyperlink" Target="http://skyves.ru/element/2615" TargetMode="External"/><Relationship Id="rId4" Type="http://schemas.openxmlformats.org/officeDocument/2006/relationships/hyperlink" Target="http://skyves.ru/element/34" TargetMode="External"/><Relationship Id="rId9" Type="http://schemas.openxmlformats.org/officeDocument/2006/relationships/hyperlink" Target="http://skyves.ru/element/382" TargetMode="External"/><Relationship Id="rId26" Type="http://schemas.openxmlformats.org/officeDocument/2006/relationships/hyperlink" Target="http://skyves.ru/element/661" TargetMode="External"/><Relationship Id="rId47" Type="http://schemas.openxmlformats.org/officeDocument/2006/relationships/hyperlink" Target="http://skyves.ru/element/423" TargetMode="External"/><Relationship Id="rId68" Type="http://schemas.openxmlformats.org/officeDocument/2006/relationships/hyperlink" Target="http://skyves.ru/element/285" TargetMode="External"/><Relationship Id="rId89" Type="http://schemas.openxmlformats.org/officeDocument/2006/relationships/hyperlink" Target="http://skyves.ru/element/198" TargetMode="External"/><Relationship Id="rId112" Type="http://schemas.openxmlformats.org/officeDocument/2006/relationships/hyperlink" Target="http://skyves.ru/element/279" TargetMode="External"/><Relationship Id="rId133" Type="http://schemas.openxmlformats.org/officeDocument/2006/relationships/hyperlink" Target="http://skyves.ru/element/2054" TargetMode="External"/><Relationship Id="rId154" Type="http://schemas.openxmlformats.org/officeDocument/2006/relationships/hyperlink" Target="http://skyves.ru/element/2268" TargetMode="External"/><Relationship Id="rId16" Type="http://schemas.openxmlformats.org/officeDocument/2006/relationships/hyperlink" Target="http://skyves.ru/element/376" TargetMode="External"/><Relationship Id="rId37" Type="http://schemas.openxmlformats.org/officeDocument/2006/relationships/hyperlink" Target="http://skyves.ru/element/413" TargetMode="External"/><Relationship Id="rId58" Type="http://schemas.openxmlformats.org/officeDocument/2006/relationships/hyperlink" Target="http://skyves.ru/element/435" TargetMode="External"/><Relationship Id="rId79" Type="http://schemas.openxmlformats.org/officeDocument/2006/relationships/hyperlink" Target="http://skyves.ru/element/255" TargetMode="External"/><Relationship Id="rId102" Type="http://schemas.openxmlformats.org/officeDocument/2006/relationships/hyperlink" Target="http://skyves.ru/element/213" TargetMode="External"/><Relationship Id="rId123" Type="http://schemas.openxmlformats.org/officeDocument/2006/relationships/hyperlink" Target="http://skyves.ru/element/2036" TargetMode="External"/><Relationship Id="rId144" Type="http://schemas.openxmlformats.org/officeDocument/2006/relationships/hyperlink" Target="http://skyves.ru/element/2065" TargetMode="External"/><Relationship Id="rId90" Type="http://schemas.openxmlformats.org/officeDocument/2006/relationships/hyperlink" Target="http://skyves.ru/element/199" TargetMode="External"/><Relationship Id="rId165" Type="http://schemas.openxmlformats.org/officeDocument/2006/relationships/hyperlink" Target="http://skyves.ru/element/2611" TargetMode="External"/><Relationship Id="rId27" Type="http://schemas.openxmlformats.org/officeDocument/2006/relationships/hyperlink" Target="http://skyves.ru/element/662" TargetMode="External"/><Relationship Id="rId48" Type="http://schemas.openxmlformats.org/officeDocument/2006/relationships/hyperlink" Target="http://skyves.ru/element/424" TargetMode="External"/><Relationship Id="rId69" Type="http://schemas.openxmlformats.org/officeDocument/2006/relationships/hyperlink" Target="http://skyves.ru/element/286" TargetMode="External"/><Relationship Id="rId113" Type="http://schemas.openxmlformats.org/officeDocument/2006/relationships/hyperlink" Target="http://skyves.ru/element/280" TargetMode="External"/><Relationship Id="rId134" Type="http://schemas.openxmlformats.org/officeDocument/2006/relationships/hyperlink" Target="http://skyves.ru/element/2055" TargetMode="External"/><Relationship Id="rId80" Type="http://schemas.openxmlformats.org/officeDocument/2006/relationships/hyperlink" Target="http://skyves.ru/element/256" TargetMode="External"/><Relationship Id="rId155" Type="http://schemas.openxmlformats.org/officeDocument/2006/relationships/hyperlink" Target="http://skyves.ru/element/2269" TargetMode="External"/><Relationship Id="rId17" Type="http://schemas.openxmlformats.org/officeDocument/2006/relationships/hyperlink" Target="http://skyves.ru/element/386" TargetMode="External"/><Relationship Id="rId38" Type="http://schemas.openxmlformats.org/officeDocument/2006/relationships/hyperlink" Target="http://skyves.ru/element/414" TargetMode="External"/><Relationship Id="rId59" Type="http://schemas.openxmlformats.org/officeDocument/2006/relationships/hyperlink" Target="http://skyves.ru/element/436" TargetMode="External"/><Relationship Id="rId103" Type="http://schemas.openxmlformats.org/officeDocument/2006/relationships/hyperlink" Target="http://skyves.ru/element/37" TargetMode="External"/><Relationship Id="rId124" Type="http://schemas.openxmlformats.org/officeDocument/2006/relationships/hyperlink" Target="http://skyves.ru/element/2037" TargetMode="External"/><Relationship Id="rId70" Type="http://schemas.openxmlformats.org/officeDocument/2006/relationships/hyperlink" Target="http://skyves.ru/element/287" TargetMode="External"/><Relationship Id="rId91" Type="http://schemas.openxmlformats.org/officeDocument/2006/relationships/hyperlink" Target="http://skyves.ru/element/200" TargetMode="External"/><Relationship Id="rId145" Type="http://schemas.openxmlformats.org/officeDocument/2006/relationships/hyperlink" Target="http://skyves.ru/element/2066" TargetMode="External"/><Relationship Id="rId166" Type="http://schemas.openxmlformats.org/officeDocument/2006/relationships/hyperlink" Target="http://skyves.ru/element/2612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70" TargetMode="External"/><Relationship Id="rId13" Type="http://schemas.openxmlformats.org/officeDocument/2006/relationships/drawing" Target="../drawings/drawing10.xml"/><Relationship Id="rId3" Type="http://schemas.openxmlformats.org/officeDocument/2006/relationships/hyperlink" Target="http://skyves.ru/element/72" TargetMode="External"/><Relationship Id="rId7" Type="http://schemas.openxmlformats.org/officeDocument/2006/relationships/hyperlink" Target="http://skyves.ru/element/74" TargetMode="External"/><Relationship Id="rId12" Type="http://schemas.openxmlformats.org/officeDocument/2006/relationships/printerSettings" Target="../printerSettings/printerSettings11.bin"/><Relationship Id="rId2" Type="http://schemas.openxmlformats.org/officeDocument/2006/relationships/hyperlink" Target="http://skyves.ru/element/71" TargetMode="External"/><Relationship Id="rId1" Type="http://schemas.openxmlformats.org/officeDocument/2006/relationships/hyperlink" Target="http://skyves.ru/element/76" TargetMode="External"/><Relationship Id="rId6" Type="http://schemas.openxmlformats.org/officeDocument/2006/relationships/hyperlink" Target="http://skyves.ru/element/73" TargetMode="External"/><Relationship Id="rId11" Type="http://schemas.openxmlformats.org/officeDocument/2006/relationships/hyperlink" Target="http://skyves.ru/element/2584" TargetMode="External"/><Relationship Id="rId5" Type="http://schemas.openxmlformats.org/officeDocument/2006/relationships/hyperlink" Target="http://skyves.ru/element/659" TargetMode="External"/><Relationship Id="rId10" Type="http://schemas.openxmlformats.org/officeDocument/2006/relationships/hyperlink" Target="http://skyves.ru/element/2583" TargetMode="External"/><Relationship Id="rId4" Type="http://schemas.openxmlformats.org/officeDocument/2006/relationships/hyperlink" Target="http://skyves.ru/element/75" TargetMode="External"/><Relationship Id="rId9" Type="http://schemas.openxmlformats.org/officeDocument/2006/relationships/hyperlink" Target="http://skyves.ru/element/2582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570" TargetMode="External"/><Relationship Id="rId3" Type="http://schemas.openxmlformats.org/officeDocument/2006/relationships/hyperlink" Target="http://skyves.ru/element/553" TargetMode="External"/><Relationship Id="rId7" Type="http://schemas.openxmlformats.org/officeDocument/2006/relationships/hyperlink" Target="http://skyves.ru/element/569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http://skyves.ru/element/556" TargetMode="External"/><Relationship Id="rId1" Type="http://schemas.openxmlformats.org/officeDocument/2006/relationships/hyperlink" Target="http://skyves.ru/element/552" TargetMode="External"/><Relationship Id="rId6" Type="http://schemas.openxmlformats.org/officeDocument/2006/relationships/hyperlink" Target="http://skyves.ru/element/557" TargetMode="External"/><Relationship Id="rId11" Type="http://schemas.openxmlformats.org/officeDocument/2006/relationships/printerSettings" Target="../printerSettings/printerSettings12.bin"/><Relationship Id="rId5" Type="http://schemas.openxmlformats.org/officeDocument/2006/relationships/hyperlink" Target="http://skyves.ru/element/555" TargetMode="External"/><Relationship Id="rId10" Type="http://schemas.openxmlformats.org/officeDocument/2006/relationships/hyperlink" Target="http://skyves.ru/element/572" TargetMode="External"/><Relationship Id="rId4" Type="http://schemas.openxmlformats.org/officeDocument/2006/relationships/hyperlink" Target="http://skyves.ru/element/554" TargetMode="External"/><Relationship Id="rId9" Type="http://schemas.openxmlformats.org/officeDocument/2006/relationships/hyperlink" Target="http://skyves.ru/element/57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skyves.ru/element/1015" TargetMode="External"/><Relationship Id="rId1" Type="http://schemas.openxmlformats.org/officeDocument/2006/relationships/hyperlink" Target="http://skyves.ru/element/1014" TargetMode="External"/><Relationship Id="rId4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skyves.ru/element/2228" TargetMode="External"/><Relationship Id="rId18" Type="http://schemas.openxmlformats.org/officeDocument/2006/relationships/hyperlink" Target="http://skyves.ru/element/2233" TargetMode="External"/><Relationship Id="rId26" Type="http://schemas.openxmlformats.org/officeDocument/2006/relationships/hyperlink" Target="http://skyves.ru/element/2242" TargetMode="External"/><Relationship Id="rId39" Type="http://schemas.openxmlformats.org/officeDocument/2006/relationships/hyperlink" Target="http://skyves.ru/element/2258" TargetMode="External"/><Relationship Id="rId21" Type="http://schemas.openxmlformats.org/officeDocument/2006/relationships/hyperlink" Target="http://skyves.ru/element/2237" TargetMode="External"/><Relationship Id="rId34" Type="http://schemas.openxmlformats.org/officeDocument/2006/relationships/hyperlink" Target="http://skyves.ru/element/2253" TargetMode="External"/><Relationship Id="rId42" Type="http://schemas.openxmlformats.org/officeDocument/2006/relationships/hyperlink" Target="http://skyves.ru/element/2261" TargetMode="External"/><Relationship Id="rId47" Type="http://schemas.openxmlformats.org/officeDocument/2006/relationships/hyperlink" Target="http://skyves.ru/element/2215" TargetMode="External"/><Relationship Id="rId50" Type="http://schemas.openxmlformats.org/officeDocument/2006/relationships/hyperlink" Target="http://skyves.ru/element/2606" TargetMode="External"/><Relationship Id="rId55" Type="http://schemas.openxmlformats.org/officeDocument/2006/relationships/drawing" Target="../drawings/drawing13.xml"/><Relationship Id="rId7" Type="http://schemas.openxmlformats.org/officeDocument/2006/relationships/hyperlink" Target="http://skyves.ru/element/2222" TargetMode="External"/><Relationship Id="rId2" Type="http://schemas.openxmlformats.org/officeDocument/2006/relationships/hyperlink" Target="http://skyves.ru/element/2211" TargetMode="External"/><Relationship Id="rId16" Type="http://schemas.openxmlformats.org/officeDocument/2006/relationships/hyperlink" Target="http://skyves.ru/element/2230" TargetMode="External"/><Relationship Id="rId29" Type="http://schemas.openxmlformats.org/officeDocument/2006/relationships/hyperlink" Target="http://skyves.ru/element/2248" TargetMode="External"/><Relationship Id="rId11" Type="http://schemas.openxmlformats.org/officeDocument/2006/relationships/hyperlink" Target="http://skyves.ru/element/2226" TargetMode="External"/><Relationship Id="rId24" Type="http://schemas.openxmlformats.org/officeDocument/2006/relationships/hyperlink" Target="http://skyves.ru/element/2239" TargetMode="External"/><Relationship Id="rId32" Type="http://schemas.openxmlformats.org/officeDocument/2006/relationships/hyperlink" Target="http://skyves.ru/element/2251" TargetMode="External"/><Relationship Id="rId37" Type="http://schemas.openxmlformats.org/officeDocument/2006/relationships/hyperlink" Target="http://skyves.ru/element/2256" TargetMode="External"/><Relationship Id="rId40" Type="http://schemas.openxmlformats.org/officeDocument/2006/relationships/hyperlink" Target="http://skyves.ru/element/2259" TargetMode="External"/><Relationship Id="rId45" Type="http://schemas.openxmlformats.org/officeDocument/2006/relationships/hyperlink" Target="http://skyves.ru/element/2213" TargetMode="External"/><Relationship Id="rId53" Type="http://schemas.openxmlformats.org/officeDocument/2006/relationships/hyperlink" Target="http://skyves.ru/element/2217" TargetMode="External"/><Relationship Id="rId5" Type="http://schemas.openxmlformats.org/officeDocument/2006/relationships/hyperlink" Target="http://skyves.ru/element/2220" TargetMode="External"/><Relationship Id="rId10" Type="http://schemas.openxmlformats.org/officeDocument/2006/relationships/hyperlink" Target="http://skyves.ru/element/2224" TargetMode="External"/><Relationship Id="rId19" Type="http://schemas.openxmlformats.org/officeDocument/2006/relationships/hyperlink" Target="http://skyves.ru/element/2234" TargetMode="External"/><Relationship Id="rId31" Type="http://schemas.openxmlformats.org/officeDocument/2006/relationships/hyperlink" Target="http://skyves.ru/element/2250" TargetMode="External"/><Relationship Id="rId44" Type="http://schemas.openxmlformats.org/officeDocument/2006/relationships/hyperlink" Target="http://skyves.ru/element/2240" TargetMode="External"/><Relationship Id="rId52" Type="http://schemas.openxmlformats.org/officeDocument/2006/relationships/hyperlink" Target="http://skyves.ru/element/2216" TargetMode="External"/><Relationship Id="rId4" Type="http://schemas.openxmlformats.org/officeDocument/2006/relationships/hyperlink" Target="http://skyves.ru/element/2219" TargetMode="External"/><Relationship Id="rId9" Type="http://schemas.openxmlformats.org/officeDocument/2006/relationships/hyperlink" Target="http://skyves.ru/element/2225" TargetMode="External"/><Relationship Id="rId14" Type="http://schemas.openxmlformats.org/officeDocument/2006/relationships/hyperlink" Target="http://skyves.ru/element/2229" TargetMode="External"/><Relationship Id="rId22" Type="http://schemas.openxmlformats.org/officeDocument/2006/relationships/hyperlink" Target="http://skyves.ru/element/2236" TargetMode="External"/><Relationship Id="rId27" Type="http://schemas.openxmlformats.org/officeDocument/2006/relationships/hyperlink" Target="http://skyves.ru/element/2243" TargetMode="External"/><Relationship Id="rId30" Type="http://schemas.openxmlformats.org/officeDocument/2006/relationships/hyperlink" Target="http://skyves.ru/element/2249" TargetMode="External"/><Relationship Id="rId35" Type="http://schemas.openxmlformats.org/officeDocument/2006/relationships/hyperlink" Target="http://skyves.ru/element/2254" TargetMode="External"/><Relationship Id="rId43" Type="http://schemas.openxmlformats.org/officeDocument/2006/relationships/hyperlink" Target="http://skyves.ru/element/2262" TargetMode="External"/><Relationship Id="rId48" Type="http://schemas.openxmlformats.org/officeDocument/2006/relationships/hyperlink" Target="http://skyves.ru/element/2604" TargetMode="External"/><Relationship Id="rId8" Type="http://schemas.openxmlformats.org/officeDocument/2006/relationships/hyperlink" Target="http://skyves.ru/element/2223" TargetMode="External"/><Relationship Id="rId51" Type="http://schemas.openxmlformats.org/officeDocument/2006/relationships/hyperlink" Target="http://skyves.ru/element/2218" TargetMode="External"/><Relationship Id="rId3" Type="http://schemas.openxmlformats.org/officeDocument/2006/relationships/hyperlink" Target="http://skyves.ru/element/2212" TargetMode="External"/><Relationship Id="rId12" Type="http://schemas.openxmlformats.org/officeDocument/2006/relationships/hyperlink" Target="http://skyves.ru/element/2227" TargetMode="External"/><Relationship Id="rId17" Type="http://schemas.openxmlformats.org/officeDocument/2006/relationships/hyperlink" Target="http://skyves.ru/element/2232" TargetMode="External"/><Relationship Id="rId25" Type="http://schemas.openxmlformats.org/officeDocument/2006/relationships/hyperlink" Target="http://skyves.ru/element/2241" TargetMode="External"/><Relationship Id="rId33" Type="http://schemas.openxmlformats.org/officeDocument/2006/relationships/hyperlink" Target="http://skyves.ru/element/2252" TargetMode="External"/><Relationship Id="rId38" Type="http://schemas.openxmlformats.org/officeDocument/2006/relationships/hyperlink" Target="http://skyves.ru/element/2257" TargetMode="External"/><Relationship Id="rId46" Type="http://schemas.openxmlformats.org/officeDocument/2006/relationships/hyperlink" Target="http://skyves.ru/element/2214" TargetMode="External"/><Relationship Id="rId20" Type="http://schemas.openxmlformats.org/officeDocument/2006/relationships/hyperlink" Target="http://skyves.ru/element/2235" TargetMode="External"/><Relationship Id="rId41" Type="http://schemas.openxmlformats.org/officeDocument/2006/relationships/hyperlink" Target="http://skyves.ru/element/2260" TargetMode="External"/><Relationship Id="rId54" Type="http://schemas.openxmlformats.org/officeDocument/2006/relationships/printerSettings" Target="../printerSettings/printerSettings14.bin"/><Relationship Id="rId1" Type="http://schemas.openxmlformats.org/officeDocument/2006/relationships/hyperlink" Target="http://skyves.ru/element/2210" TargetMode="External"/><Relationship Id="rId6" Type="http://schemas.openxmlformats.org/officeDocument/2006/relationships/hyperlink" Target="http://skyves.ru/element/2221" TargetMode="External"/><Relationship Id="rId15" Type="http://schemas.openxmlformats.org/officeDocument/2006/relationships/hyperlink" Target="http://skyves.ru/element/2231" TargetMode="External"/><Relationship Id="rId23" Type="http://schemas.openxmlformats.org/officeDocument/2006/relationships/hyperlink" Target="http://skyves.ru/element/2238" TargetMode="External"/><Relationship Id="rId28" Type="http://schemas.openxmlformats.org/officeDocument/2006/relationships/hyperlink" Target="http://skyves.ru/element/2244" TargetMode="External"/><Relationship Id="rId36" Type="http://schemas.openxmlformats.org/officeDocument/2006/relationships/hyperlink" Target="http://skyves.ru/element/2255" TargetMode="External"/><Relationship Id="rId49" Type="http://schemas.openxmlformats.org/officeDocument/2006/relationships/hyperlink" Target="http://skyves.ru/element/2605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357" TargetMode="External"/><Relationship Id="rId13" Type="http://schemas.openxmlformats.org/officeDocument/2006/relationships/hyperlink" Target="http://skyves.ru/element/362" TargetMode="External"/><Relationship Id="rId3" Type="http://schemas.openxmlformats.org/officeDocument/2006/relationships/hyperlink" Target="http://skyves.ru/element/352" TargetMode="External"/><Relationship Id="rId7" Type="http://schemas.openxmlformats.org/officeDocument/2006/relationships/hyperlink" Target="http://skyves.ru/element/356" TargetMode="External"/><Relationship Id="rId12" Type="http://schemas.openxmlformats.org/officeDocument/2006/relationships/hyperlink" Target="http://skyves.ru/element/361" TargetMode="External"/><Relationship Id="rId2" Type="http://schemas.openxmlformats.org/officeDocument/2006/relationships/hyperlink" Target="http://skyves.ru/element/30" TargetMode="External"/><Relationship Id="rId16" Type="http://schemas.openxmlformats.org/officeDocument/2006/relationships/drawing" Target="../drawings/drawing14.xml"/><Relationship Id="rId1" Type="http://schemas.openxmlformats.org/officeDocument/2006/relationships/hyperlink" Target="http://skyves.ru/element/29" TargetMode="External"/><Relationship Id="rId6" Type="http://schemas.openxmlformats.org/officeDocument/2006/relationships/hyperlink" Target="http://skyves.ru/element/355" TargetMode="External"/><Relationship Id="rId11" Type="http://schemas.openxmlformats.org/officeDocument/2006/relationships/hyperlink" Target="http://skyves.ru/element/360" TargetMode="External"/><Relationship Id="rId5" Type="http://schemas.openxmlformats.org/officeDocument/2006/relationships/hyperlink" Target="http://skyves.ru/element/354" TargetMode="External"/><Relationship Id="rId15" Type="http://schemas.openxmlformats.org/officeDocument/2006/relationships/printerSettings" Target="../printerSettings/printerSettings15.bin"/><Relationship Id="rId10" Type="http://schemas.openxmlformats.org/officeDocument/2006/relationships/hyperlink" Target="http://skyves.ru/element/359" TargetMode="External"/><Relationship Id="rId4" Type="http://schemas.openxmlformats.org/officeDocument/2006/relationships/hyperlink" Target="http://skyves.ru/element/353" TargetMode="External"/><Relationship Id="rId9" Type="http://schemas.openxmlformats.org/officeDocument/2006/relationships/hyperlink" Target="http://skyves.ru/element/358" TargetMode="External"/><Relationship Id="rId14" Type="http://schemas.openxmlformats.org/officeDocument/2006/relationships/hyperlink" Target="http://skyves.ru/element/363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://skyves.ru/element/137" TargetMode="External"/><Relationship Id="rId18" Type="http://schemas.openxmlformats.org/officeDocument/2006/relationships/hyperlink" Target="http://skyves.ru/element/1318" TargetMode="External"/><Relationship Id="rId26" Type="http://schemas.openxmlformats.org/officeDocument/2006/relationships/hyperlink" Target="http://skyves.ru/element/2150" TargetMode="External"/><Relationship Id="rId39" Type="http://schemas.openxmlformats.org/officeDocument/2006/relationships/hyperlink" Target="http://skyves.ru/element/2596" TargetMode="External"/><Relationship Id="rId21" Type="http://schemas.openxmlformats.org/officeDocument/2006/relationships/hyperlink" Target="http://skyves.ru/element/1321" TargetMode="External"/><Relationship Id="rId34" Type="http://schemas.openxmlformats.org/officeDocument/2006/relationships/hyperlink" Target="http://skyves.ru/element/2591" TargetMode="External"/><Relationship Id="rId42" Type="http://schemas.openxmlformats.org/officeDocument/2006/relationships/hyperlink" Target="http://skyves.ru/element/2599" TargetMode="External"/><Relationship Id="rId7" Type="http://schemas.openxmlformats.org/officeDocument/2006/relationships/hyperlink" Target="http://skyves.ru/element/131" TargetMode="External"/><Relationship Id="rId2" Type="http://schemas.openxmlformats.org/officeDocument/2006/relationships/hyperlink" Target="http://skyves.ru/element/126" TargetMode="External"/><Relationship Id="rId16" Type="http://schemas.openxmlformats.org/officeDocument/2006/relationships/hyperlink" Target="http://skyves.ru/element/139" TargetMode="External"/><Relationship Id="rId29" Type="http://schemas.openxmlformats.org/officeDocument/2006/relationships/hyperlink" Target="http://skyves.ru/element/2586" TargetMode="External"/><Relationship Id="rId1" Type="http://schemas.openxmlformats.org/officeDocument/2006/relationships/hyperlink" Target="http://skyves.ru/element/129" TargetMode="External"/><Relationship Id="rId6" Type="http://schemas.openxmlformats.org/officeDocument/2006/relationships/hyperlink" Target="http://skyves.ru/element/128" TargetMode="External"/><Relationship Id="rId11" Type="http://schemas.openxmlformats.org/officeDocument/2006/relationships/hyperlink" Target="http://skyves.ru/element/135" TargetMode="External"/><Relationship Id="rId24" Type="http://schemas.openxmlformats.org/officeDocument/2006/relationships/hyperlink" Target="http://skyves.ru/element/2148" TargetMode="External"/><Relationship Id="rId32" Type="http://schemas.openxmlformats.org/officeDocument/2006/relationships/hyperlink" Target="http://skyves.ru/element/2589" TargetMode="External"/><Relationship Id="rId37" Type="http://schemas.openxmlformats.org/officeDocument/2006/relationships/hyperlink" Target="http://skyves.ru/element/2594" TargetMode="External"/><Relationship Id="rId40" Type="http://schemas.openxmlformats.org/officeDocument/2006/relationships/hyperlink" Target="http://skyves.ru/element/2597" TargetMode="External"/><Relationship Id="rId45" Type="http://schemas.openxmlformats.org/officeDocument/2006/relationships/printerSettings" Target="../printerSettings/printerSettings16.bin"/><Relationship Id="rId5" Type="http://schemas.openxmlformats.org/officeDocument/2006/relationships/hyperlink" Target="http://skyves.ru/element/130" TargetMode="External"/><Relationship Id="rId15" Type="http://schemas.openxmlformats.org/officeDocument/2006/relationships/hyperlink" Target="http://skyves.ru/element/292" TargetMode="External"/><Relationship Id="rId23" Type="http://schemas.openxmlformats.org/officeDocument/2006/relationships/hyperlink" Target="http://skyves.ru/element/1324" TargetMode="External"/><Relationship Id="rId28" Type="http://schemas.openxmlformats.org/officeDocument/2006/relationships/hyperlink" Target="http://skyves.ru/element/2585" TargetMode="External"/><Relationship Id="rId36" Type="http://schemas.openxmlformats.org/officeDocument/2006/relationships/hyperlink" Target="http://skyves.ru/element/2593" TargetMode="External"/><Relationship Id="rId10" Type="http://schemas.openxmlformats.org/officeDocument/2006/relationships/hyperlink" Target="http://skyves.ru/element/134" TargetMode="External"/><Relationship Id="rId19" Type="http://schemas.openxmlformats.org/officeDocument/2006/relationships/hyperlink" Target="http://skyves.ru/element/1319" TargetMode="External"/><Relationship Id="rId31" Type="http://schemas.openxmlformats.org/officeDocument/2006/relationships/hyperlink" Target="http://skyves.ru/element/2588" TargetMode="External"/><Relationship Id="rId44" Type="http://schemas.openxmlformats.org/officeDocument/2006/relationships/hyperlink" Target="http://skyves.ru/element/2601" TargetMode="External"/><Relationship Id="rId4" Type="http://schemas.openxmlformats.org/officeDocument/2006/relationships/hyperlink" Target="http://skyves.ru/element/127" TargetMode="External"/><Relationship Id="rId9" Type="http://schemas.openxmlformats.org/officeDocument/2006/relationships/hyperlink" Target="http://skyves.ru/element/133" TargetMode="External"/><Relationship Id="rId14" Type="http://schemas.openxmlformats.org/officeDocument/2006/relationships/hyperlink" Target="http://skyves.ru/element/138" TargetMode="External"/><Relationship Id="rId22" Type="http://schemas.openxmlformats.org/officeDocument/2006/relationships/hyperlink" Target="http://skyves.ru/element/1323" TargetMode="External"/><Relationship Id="rId27" Type="http://schemas.openxmlformats.org/officeDocument/2006/relationships/hyperlink" Target="http://skyves.ru/element/2151" TargetMode="External"/><Relationship Id="rId30" Type="http://schemas.openxmlformats.org/officeDocument/2006/relationships/hyperlink" Target="http://skyves.ru/element/2587" TargetMode="External"/><Relationship Id="rId35" Type="http://schemas.openxmlformats.org/officeDocument/2006/relationships/hyperlink" Target="http://skyves.ru/element/2592" TargetMode="External"/><Relationship Id="rId43" Type="http://schemas.openxmlformats.org/officeDocument/2006/relationships/hyperlink" Target="http://skyves.ru/element/2600" TargetMode="External"/><Relationship Id="rId8" Type="http://schemas.openxmlformats.org/officeDocument/2006/relationships/hyperlink" Target="http://skyves.ru/element/291" TargetMode="External"/><Relationship Id="rId3" Type="http://schemas.openxmlformats.org/officeDocument/2006/relationships/hyperlink" Target="http://skyves.ru/element/132" TargetMode="External"/><Relationship Id="rId12" Type="http://schemas.openxmlformats.org/officeDocument/2006/relationships/hyperlink" Target="http://skyves.ru/element/136" TargetMode="External"/><Relationship Id="rId17" Type="http://schemas.openxmlformats.org/officeDocument/2006/relationships/hyperlink" Target="http://skyves.ru/element/1322" TargetMode="External"/><Relationship Id="rId25" Type="http://schemas.openxmlformats.org/officeDocument/2006/relationships/hyperlink" Target="http://skyves.ru/element/2149" TargetMode="External"/><Relationship Id="rId33" Type="http://schemas.openxmlformats.org/officeDocument/2006/relationships/hyperlink" Target="http://skyves.ru/element/2590" TargetMode="External"/><Relationship Id="rId38" Type="http://schemas.openxmlformats.org/officeDocument/2006/relationships/hyperlink" Target="http://skyves.ru/element/2595" TargetMode="External"/><Relationship Id="rId46" Type="http://schemas.openxmlformats.org/officeDocument/2006/relationships/drawing" Target="../drawings/drawing15.xml"/><Relationship Id="rId20" Type="http://schemas.openxmlformats.org/officeDocument/2006/relationships/hyperlink" Target="http://skyves.ru/element/1320" TargetMode="External"/><Relationship Id="rId41" Type="http://schemas.openxmlformats.org/officeDocument/2006/relationships/hyperlink" Target="http://skyves.ru/element/2598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skyves.ru/element/240" TargetMode="External"/><Relationship Id="rId13" Type="http://schemas.openxmlformats.org/officeDocument/2006/relationships/printerSettings" Target="../printerSettings/printerSettings17.bin"/><Relationship Id="rId3" Type="http://schemas.openxmlformats.org/officeDocument/2006/relationships/hyperlink" Target="http://skyves.ru/element/145" TargetMode="External"/><Relationship Id="rId7" Type="http://schemas.openxmlformats.org/officeDocument/2006/relationships/hyperlink" Target="http://skyves.ru/element/239" TargetMode="External"/><Relationship Id="rId12" Type="http://schemas.openxmlformats.org/officeDocument/2006/relationships/hyperlink" Target="http://skyves.ru/element/244" TargetMode="External"/><Relationship Id="rId2" Type="http://schemas.openxmlformats.org/officeDocument/2006/relationships/hyperlink" Target="http://skyves.ru/element/144" TargetMode="External"/><Relationship Id="rId1" Type="http://schemas.openxmlformats.org/officeDocument/2006/relationships/hyperlink" Target="http://skyves.ru/element/143" TargetMode="External"/><Relationship Id="rId6" Type="http://schemas.openxmlformats.org/officeDocument/2006/relationships/hyperlink" Target="http://skyves.ru/element/148" TargetMode="External"/><Relationship Id="rId11" Type="http://schemas.openxmlformats.org/officeDocument/2006/relationships/hyperlink" Target="http://skyves.ru/element/243" TargetMode="External"/><Relationship Id="rId5" Type="http://schemas.openxmlformats.org/officeDocument/2006/relationships/hyperlink" Target="http://skyves.ru/element/147" TargetMode="External"/><Relationship Id="rId10" Type="http://schemas.openxmlformats.org/officeDocument/2006/relationships/hyperlink" Target="http://skyves.ru/element/242" TargetMode="External"/><Relationship Id="rId4" Type="http://schemas.openxmlformats.org/officeDocument/2006/relationships/hyperlink" Target="http://skyves.ru/element/146" TargetMode="External"/><Relationship Id="rId9" Type="http://schemas.openxmlformats.org/officeDocument/2006/relationships/hyperlink" Target="http://skyves.ru/element/241" TargetMode="External"/><Relationship Id="rId14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3:E4"/>
  <sheetViews>
    <sheetView workbookViewId="0">
      <selection activeCell="B4" sqref="B4"/>
    </sheetView>
  </sheetViews>
  <sheetFormatPr defaultColWidth="9.109375" defaultRowHeight="13.8" x14ac:dyDescent="0.3"/>
  <cols>
    <col min="1" max="1" width="33.5546875" style="1" customWidth="1"/>
    <col min="2" max="2" width="18.88671875" style="1" customWidth="1"/>
    <col min="3" max="16384" width="9.109375" style="1"/>
  </cols>
  <sheetData>
    <row r="3" spans="1:5" ht="23.4" x14ac:dyDescent="0.3">
      <c r="A3" s="16" t="s">
        <v>969</v>
      </c>
      <c r="B3" s="17">
        <v>92.3</v>
      </c>
      <c r="C3" s="18" t="s">
        <v>1</v>
      </c>
      <c r="E3" s="19" t="s">
        <v>992</v>
      </c>
    </row>
    <row r="4" spans="1:5" ht="23.4" x14ac:dyDescent="0.3">
      <c r="A4" s="16" t="s">
        <v>0</v>
      </c>
      <c r="B4" s="113">
        <v>76.25</v>
      </c>
      <c r="C4" s="18" t="s">
        <v>1</v>
      </c>
      <c r="E4" s="19" t="s">
        <v>992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6" zoomScale="90" zoomScaleNormal="90" zoomScaleSheetLayoutView="100" workbookViewId="0">
      <selection activeCell="I23" sqref="I23:J23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3" width="20.6640625" style="1" customWidth="1"/>
    <col min="4" max="4" width="18.554687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7" style="1" hidden="1" customWidth="1"/>
    <col min="13" max="13" width="0" style="12" hidden="1" customWidth="1"/>
    <col min="14" max="16384" width="9.109375" style="1"/>
  </cols>
  <sheetData>
    <row r="1" spans="1:13" ht="39.9" customHeight="1" x14ac:dyDescent="0.3">
      <c r="A1" s="139" t="s">
        <v>1425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3" ht="41.4" x14ac:dyDescent="0.3">
      <c r="A2" s="45"/>
      <c r="B2" s="38" t="s">
        <v>2</v>
      </c>
      <c r="C2" s="4" t="s">
        <v>42</v>
      </c>
      <c r="D2" s="4" t="s">
        <v>43</v>
      </c>
      <c r="E2" s="38" t="s">
        <v>9</v>
      </c>
      <c r="F2" s="38" t="s">
        <v>10</v>
      </c>
      <c r="G2" s="4" t="s">
        <v>11</v>
      </c>
      <c r="H2" s="4" t="s">
        <v>17</v>
      </c>
      <c r="I2" s="4"/>
      <c r="J2" s="4"/>
    </row>
    <row r="3" spans="1:13" s="89" customFormat="1" ht="30" customHeight="1" x14ac:dyDescent="0.3">
      <c r="A3" s="141"/>
      <c r="B3" s="32" t="s">
        <v>1159</v>
      </c>
      <c r="C3" s="91" t="s">
        <v>44</v>
      </c>
      <c r="D3" s="85" t="s">
        <v>48</v>
      </c>
      <c r="E3" s="85" t="s">
        <v>27</v>
      </c>
      <c r="F3" s="85" t="s">
        <v>13</v>
      </c>
      <c r="G3" s="85" t="s">
        <v>1165</v>
      </c>
      <c r="H3" s="86">
        <v>26000</v>
      </c>
      <c r="I3" s="87"/>
      <c r="J3" s="86"/>
      <c r="L3" s="112" t="s">
        <v>1772</v>
      </c>
      <c r="M3" s="115"/>
    </row>
    <row r="4" spans="1:13" s="89" customFormat="1" ht="30" customHeight="1" x14ac:dyDescent="0.3">
      <c r="A4" s="142"/>
      <c r="B4" s="32" t="s">
        <v>1160</v>
      </c>
      <c r="C4" s="91" t="s">
        <v>45</v>
      </c>
      <c r="D4" s="85" t="s">
        <v>48</v>
      </c>
      <c r="E4" s="85" t="s">
        <v>27</v>
      </c>
      <c r="F4" s="85" t="s">
        <v>13</v>
      </c>
      <c r="G4" s="85" t="s">
        <v>1165</v>
      </c>
      <c r="H4" s="86">
        <v>26400</v>
      </c>
      <c r="I4" s="87"/>
      <c r="J4" s="86"/>
      <c r="L4" s="112" t="s">
        <v>1772</v>
      </c>
      <c r="M4" s="115"/>
    </row>
    <row r="5" spans="1:13" s="89" customFormat="1" ht="30" customHeight="1" x14ac:dyDescent="0.3">
      <c r="A5" s="142"/>
      <c r="B5" s="32" t="s">
        <v>1161</v>
      </c>
      <c r="C5" s="91" t="s">
        <v>241</v>
      </c>
      <c r="D5" s="85" t="s">
        <v>48</v>
      </c>
      <c r="E5" s="85" t="s">
        <v>27</v>
      </c>
      <c r="F5" s="85" t="s">
        <v>13</v>
      </c>
      <c r="G5" s="85" t="s">
        <v>1165</v>
      </c>
      <c r="H5" s="86">
        <v>27200</v>
      </c>
      <c r="I5" s="87"/>
      <c r="J5" s="86"/>
      <c r="L5" s="112" t="s">
        <v>1772</v>
      </c>
      <c r="M5" s="115"/>
    </row>
    <row r="6" spans="1:13" s="89" customFormat="1" ht="30" customHeight="1" x14ac:dyDescent="0.3">
      <c r="A6" s="142"/>
      <c r="B6" s="32" t="s">
        <v>1162</v>
      </c>
      <c r="C6" s="91" t="s">
        <v>242</v>
      </c>
      <c r="D6" s="85" t="s">
        <v>48</v>
      </c>
      <c r="E6" s="85" t="s">
        <v>27</v>
      </c>
      <c r="F6" s="85" t="s">
        <v>13</v>
      </c>
      <c r="G6" s="85" t="s">
        <v>1165</v>
      </c>
      <c r="H6" s="86">
        <v>28800</v>
      </c>
      <c r="I6" s="87"/>
      <c r="J6" s="86"/>
      <c r="L6" s="112" t="s">
        <v>1772</v>
      </c>
      <c r="M6" s="115"/>
    </row>
    <row r="7" spans="1:13" s="89" customFormat="1" ht="30" customHeight="1" x14ac:dyDescent="0.3">
      <c r="A7" s="142"/>
      <c r="B7" s="32" t="s">
        <v>1163</v>
      </c>
      <c r="C7" s="91" t="s">
        <v>413</v>
      </c>
      <c r="D7" s="85" t="s">
        <v>48</v>
      </c>
      <c r="E7" s="85" t="s">
        <v>27</v>
      </c>
      <c r="F7" s="85" t="s">
        <v>13</v>
      </c>
      <c r="G7" s="85" t="s">
        <v>1165</v>
      </c>
      <c r="H7" s="86">
        <v>33600</v>
      </c>
      <c r="I7" s="87"/>
      <c r="J7" s="86"/>
      <c r="L7" s="112" t="s">
        <v>1772</v>
      </c>
      <c r="M7" s="115"/>
    </row>
    <row r="8" spans="1:13" s="89" customFormat="1" ht="30" customHeight="1" x14ac:dyDescent="0.3">
      <c r="A8" s="142"/>
      <c r="B8" s="32" t="s">
        <v>1164</v>
      </c>
      <c r="C8" s="91" t="s">
        <v>54</v>
      </c>
      <c r="D8" s="85" t="s">
        <v>48</v>
      </c>
      <c r="E8" s="85" t="s">
        <v>27</v>
      </c>
      <c r="F8" s="85" t="s">
        <v>13</v>
      </c>
      <c r="G8" s="85" t="s">
        <v>1165</v>
      </c>
      <c r="H8" s="86">
        <v>38400</v>
      </c>
      <c r="I8" s="87"/>
      <c r="J8" s="86"/>
      <c r="L8" s="112" t="s">
        <v>1772</v>
      </c>
      <c r="M8" s="115"/>
    </row>
    <row r="9" spans="1:13" s="89" customFormat="1" ht="30" customHeight="1" x14ac:dyDescent="0.3">
      <c r="A9" s="138"/>
      <c r="B9" s="32" t="s">
        <v>1166</v>
      </c>
      <c r="C9" s="91" t="s">
        <v>45</v>
      </c>
      <c r="D9" s="85" t="s">
        <v>49</v>
      </c>
      <c r="E9" s="85" t="s">
        <v>27</v>
      </c>
      <c r="F9" s="85" t="s">
        <v>13</v>
      </c>
      <c r="G9" s="85" t="s">
        <v>1175</v>
      </c>
      <c r="H9" s="86">
        <v>17600</v>
      </c>
      <c r="I9" s="87"/>
      <c r="J9" s="86"/>
      <c r="L9" s="12" t="s">
        <v>1714</v>
      </c>
      <c r="M9" s="115"/>
    </row>
    <row r="10" spans="1:13" s="89" customFormat="1" ht="30" customHeight="1" x14ac:dyDescent="0.3">
      <c r="A10" s="138"/>
      <c r="B10" s="32" t="s">
        <v>1167</v>
      </c>
      <c r="C10" s="91" t="s">
        <v>241</v>
      </c>
      <c r="D10" s="85" t="s">
        <v>49</v>
      </c>
      <c r="E10" s="85" t="s">
        <v>27</v>
      </c>
      <c r="F10" s="85" t="s">
        <v>13</v>
      </c>
      <c r="G10" s="85" t="s">
        <v>1175</v>
      </c>
      <c r="H10" s="86">
        <v>17600</v>
      </c>
      <c r="I10" s="87"/>
      <c r="J10" s="86"/>
      <c r="L10" s="12" t="s">
        <v>1714</v>
      </c>
      <c r="M10" s="115"/>
    </row>
    <row r="11" spans="1:13" s="89" customFormat="1" ht="30" customHeight="1" x14ac:dyDescent="0.3">
      <c r="A11" s="138"/>
      <c r="B11" s="32" t="s">
        <v>1168</v>
      </c>
      <c r="C11" s="91" t="s">
        <v>242</v>
      </c>
      <c r="D11" s="85" t="s">
        <v>49</v>
      </c>
      <c r="E11" s="85" t="s">
        <v>27</v>
      </c>
      <c r="F11" s="85" t="s">
        <v>13</v>
      </c>
      <c r="G11" s="85" t="s">
        <v>1175</v>
      </c>
      <c r="H11" s="86">
        <v>18400</v>
      </c>
      <c r="I11" s="87"/>
      <c r="J11" s="86"/>
      <c r="L11" s="12" t="s">
        <v>1714</v>
      </c>
      <c r="M11" s="115"/>
    </row>
    <row r="12" spans="1:13" s="89" customFormat="1" ht="30" customHeight="1" x14ac:dyDescent="0.3">
      <c r="A12" s="138"/>
      <c r="B12" s="32" t="s">
        <v>1169</v>
      </c>
      <c r="C12" s="91" t="s">
        <v>178</v>
      </c>
      <c r="D12" s="85" t="s">
        <v>49</v>
      </c>
      <c r="E12" s="85" t="s">
        <v>27</v>
      </c>
      <c r="F12" s="85" t="s">
        <v>13</v>
      </c>
      <c r="G12" s="85" t="s">
        <v>1175</v>
      </c>
      <c r="H12" s="86">
        <v>19200</v>
      </c>
      <c r="I12" s="87"/>
      <c r="J12" s="86"/>
      <c r="L12" s="12" t="s">
        <v>1714</v>
      </c>
      <c r="M12" s="115"/>
    </row>
    <row r="13" spans="1:13" s="89" customFormat="1" ht="30" customHeight="1" x14ac:dyDescent="0.3">
      <c r="A13" s="138"/>
      <c r="B13" s="32" t="s">
        <v>1170</v>
      </c>
      <c r="C13" s="91" t="s">
        <v>181</v>
      </c>
      <c r="D13" s="85" t="s">
        <v>49</v>
      </c>
      <c r="E13" s="85" t="s">
        <v>27</v>
      </c>
      <c r="F13" s="85" t="s">
        <v>13</v>
      </c>
      <c r="G13" s="85" t="s">
        <v>1175</v>
      </c>
      <c r="H13" s="86">
        <v>24000</v>
      </c>
      <c r="I13" s="87"/>
      <c r="J13" s="86"/>
      <c r="L13" s="12" t="s">
        <v>1714</v>
      </c>
      <c r="M13" s="115"/>
    </row>
    <row r="14" spans="1:13" s="89" customFormat="1" ht="30" customHeight="1" x14ac:dyDescent="0.3">
      <c r="A14" s="138"/>
      <c r="B14" s="32" t="s">
        <v>1171</v>
      </c>
      <c r="C14" s="91" t="s">
        <v>182</v>
      </c>
      <c r="D14" s="85" t="s">
        <v>49</v>
      </c>
      <c r="E14" s="85" t="s">
        <v>27</v>
      </c>
      <c r="F14" s="85" t="s">
        <v>13</v>
      </c>
      <c r="G14" s="85" t="s">
        <v>1176</v>
      </c>
      <c r="H14" s="86">
        <v>27200</v>
      </c>
      <c r="I14" s="87"/>
      <c r="J14" s="86"/>
      <c r="L14" s="12" t="s">
        <v>1714</v>
      </c>
      <c r="M14" s="115"/>
    </row>
    <row r="15" spans="1:13" s="89" customFormat="1" ht="30" customHeight="1" x14ac:dyDescent="0.3">
      <c r="A15" s="138"/>
      <c r="B15" s="32" t="s">
        <v>1172</v>
      </c>
      <c r="C15" s="91" t="s">
        <v>59</v>
      </c>
      <c r="D15" s="85" t="s">
        <v>49</v>
      </c>
      <c r="E15" s="85" t="s">
        <v>27</v>
      </c>
      <c r="F15" s="85" t="s">
        <v>13</v>
      </c>
      <c r="G15" s="85" t="s">
        <v>1176</v>
      </c>
      <c r="H15" s="86">
        <v>30400</v>
      </c>
      <c r="I15" s="87"/>
      <c r="J15" s="86"/>
      <c r="L15" s="12" t="s">
        <v>1714</v>
      </c>
      <c r="M15" s="115"/>
    </row>
    <row r="16" spans="1:13" s="89" customFormat="1" ht="30" customHeight="1" x14ac:dyDescent="0.3">
      <c r="A16" s="138"/>
      <c r="B16" s="32" t="s">
        <v>1173</v>
      </c>
      <c r="C16" s="91" t="s">
        <v>60</v>
      </c>
      <c r="D16" s="85" t="s">
        <v>49</v>
      </c>
      <c r="E16" s="85" t="s">
        <v>27</v>
      </c>
      <c r="F16" s="85" t="s">
        <v>13</v>
      </c>
      <c r="G16" s="85" t="s">
        <v>1176</v>
      </c>
      <c r="H16" s="86">
        <v>36800</v>
      </c>
      <c r="I16" s="87"/>
      <c r="J16" s="86"/>
      <c r="L16" s="12" t="s">
        <v>1714</v>
      </c>
      <c r="M16" s="115"/>
    </row>
    <row r="17" spans="1:13" s="89" customFormat="1" ht="30" customHeight="1" x14ac:dyDescent="0.3">
      <c r="A17" s="138"/>
      <c r="B17" s="32" t="s">
        <v>1174</v>
      </c>
      <c r="C17" s="91" t="s">
        <v>183</v>
      </c>
      <c r="D17" s="85" t="s">
        <v>49</v>
      </c>
      <c r="E17" s="85" t="s">
        <v>27</v>
      </c>
      <c r="F17" s="85" t="s">
        <v>13</v>
      </c>
      <c r="G17" s="85" t="s">
        <v>1176</v>
      </c>
      <c r="H17" s="86">
        <v>42400</v>
      </c>
      <c r="I17" s="87"/>
      <c r="J17" s="86"/>
      <c r="L17" s="12" t="s">
        <v>1714</v>
      </c>
      <c r="M17" s="115"/>
    </row>
    <row r="18" spans="1:13" s="89" customFormat="1" ht="30" customHeight="1" x14ac:dyDescent="0.3">
      <c r="A18" s="138"/>
      <c r="B18" s="32" t="s">
        <v>1186</v>
      </c>
      <c r="C18" s="91" t="s">
        <v>1185</v>
      </c>
      <c r="D18" s="85" t="s">
        <v>50</v>
      </c>
      <c r="E18" s="85" t="s">
        <v>27</v>
      </c>
      <c r="F18" s="85" t="s">
        <v>13</v>
      </c>
      <c r="G18" s="85" t="s">
        <v>114</v>
      </c>
      <c r="H18" s="86">
        <v>21600</v>
      </c>
      <c r="I18" s="87"/>
      <c r="J18" s="86"/>
      <c r="L18" s="12" t="s">
        <v>1714</v>
      </c>
      <c r="M18" s="115"/>
    </row>
    <row r="19" spans="1:13" s="89" customFormat="1" ht="30" customHeight="1" x14ac:dyDescent="0.3">
      <c r="A19" s="138"/>
      <c r="B19" s="32" t="s">
        <v>1177</v>
      </c>
      <c r="C19" s="91" t="s">
        <v>221</v>
      </c>
      <c r="D19" s="85" t="s">
        <v>50</v>
      </c>
      <c r="E19" s="85" t="s">
        <v>27</v>
      </c>
      <c r="F19" s="85" t="s">
        <v>13</v>
      </c>
      <c r="G19" s="85" t="s">
        <v>114</v>
      </c>
      <c r="H19" s="86">
        <v>25600</v>
      </c>
      <c r="I19" s="87"/>
      <c r="J19" s="86"/>
      <c r="L19" s="12" t="s">
        <v>1714</v>
      </c>
      <c r="M19" s="115"/>
    </row>
    <row r="20" spans="1:13" s="89" customFormat="1" ht="30" customHeight="1" x14ac:dyDescent="0.3">
      <c r="A20" s="138"/>
      <c r="B20" s="32" t="s">
        <v>1178</v>
      </c>
      <c r="C20" s="91" t="s">
        <v>62</v>
      </c>
      <c r="D20" s="85" t="s">
        <v>50</v>
      </c>
      <c r="E20" s="85" t="s">
        <v>27</v>
      </c>
      <c r="F20" s="85" t="s">
        <v>13</v>
      </c>
      <c r="G20" s="85" t="s">
        <v>114</v>
      </c>
      <c r="H20" s="86">
        <v>27200</v>
      </c>
      <c r="I20" s="87"/>
      <c r="J20" s="86"/>
      <c r="L20" s="12" t="s">
        <v>1714</v>
      </c>
      <c r="M20" s="115">
        <v>3.6</v>
      </c>
    </row>
    <row r="21" spans="1:13" s="89" customFormat="1" ht="30" customHeight="1" x14ac:dyDescent="0.3">
      <c r="A21" s="138"/>
      <c r="B21" s="32" t="s">
        <v>1179</v>
      </c>
      <c r="C21" s="91" t="s">
        <v>523</v>
      </c>
      <c r="D21" s="85" t="s">
        <v>51</v>
      </c>
      <c r="E21" s="85" t="s">
        <v>224</v>
      </c>
      <c r="F21" s="85" t="s">
        <v>13</v>
      </c>
      <c r="G21" s="85" t="s">
        <v>114</v>
      </c>
      <c r="H21" s="86">
        <v>13680</v>
      </c>
      <c r="I21" s="87"/>
      <c r="J21" s="86"/>
      <c r="L21" s="12" t="s">
        <v>1714</v>
      </c>
      <c r="M21" s="115"/>
    </row>
    <row r="22" spans="1:13" s="89" customFormat="1" ht="20.100000000000001" customHeight="1" x14ac:dyDescent="0.3">
      <c r="A22" s="143" t="s">
        <v>67</v>
      </c>
      <c r="B22" s="143"/>
      <c r="C22" s="143"/>
      <c r="D22" s="143"/>
      <c r="E22" s="143"/>
      <c r="F22" s="143"/>
      <c r="G22" s="143"/>
      <c r="H22" s="143"/>
      <c r="I22" s="143"/>
      <c r="J22" s="143"/>
      <c r="M22" s="115"/>
    </row>
    <row r="23" spans="1:13" s="89" customFormat="1" ht="99.75" customHeight="1" x14ac:dyDescent="0.3">
      <c r="A23" s="92"/>
      <c r="B23" s="138" t="s">
        <v>1226</v>
      </c>
      <c r="C23" s="138"/>
      <c r="D23" s="138"/>
      <c r="E23" s="138"/>
      <c r="F23" s="138"/>
      <c r="G23" s="138"/>
      <c r="H23" s="86">
        <v>3600</v>
      </c>
      <c r="I23" s="87"/>
      <c r="J23" s="86"/>
      <c r="M23" s="115"/>
    </row>
    <row r="24" spans="1:13" s="89" customFormat="1" ht="20.100000000000001" customHeight="1" x14ac:dyDescent="0.3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M24" s="115"/>
    </row>
  </sheetData>
  <mergeCells count="7">
    <mergeCell ref="A24:J24"/>
    <mergeCell ref="B23:G23"/>
    <mergeCell ref="A1:J1"/>
    <mergeCell ref="A3:A8"/>
    <mergeCell ref="A9:A17"/>
    <mergeCell ref="A18:A21"/>
    <mergeCell ref="A22:J22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 display="DL-6001"/>
    <hyperlink ref="B19" r:id="rId17"/>
    <hyperlink ref="B20" r:id="rId18"/>
    <hyperlink ref="B21" r:id="rId19"/>
  </hyperlinks>
  <pageMargins left="0.7" right="0.7" top="0.75" bottom="0.75" header="0.3" footer="0.3"/>
  <pageSetup paperSize="9" orientation="portrait" r:id="rId20"/>
  <drawing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49"/>
  <sheetViews>
    <sheetView topLeftCell="A43" zoomScale="90" zoomScaleNormal="90" workbookViewId="0">
      <selection activeCell="I44" sqref="I44:J49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3" width="20.6640625" style="1" customWidth="1"/>
    <col min="4" max="4" width="18.554687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20.5546875" style="1" hidden="1" customWidth="1"/>
    <col min="13" max="13" width="0" style="12" hidden="1" customWidth="1"/>
    <col min="14" max="16384" width="9.109375" style="1"/>
  </cols>
  <sheetData>
    <row r="1" spans="1:13" ht="39.9" customHeight="1" x14ac:dyDescent="0.3">
      <c r="A1" s="139" t="s">
        <v>1422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3" ht="30" customHeight="1" x14ac:dyDescent="0.3">
      <c r="A2" s="56"/>
      <c r="B2" s="38" t="s">
        <v>2</v>
      </c>
      <c r="C2" s="4" t="s">
        <v>42</v>
      </c>
      <c r="D2" s="4" t="s">
        <v>43</v>
      </c>
      <c r="E2" s="38" t="s">
        <v>9</v>
      </c>
      <c r="F2" s="38" t="s">
        <v>10</v>
      </c>
      <c r="G2" s="4" t="s">
        <v>11</v>
      </c>
      <c r="H2" s="4" t="s">
        <v>17</v>
      </c>
      <c r="I2" s="4"/>
      <c r="J2" s="4"/>
    </row>
    <row r="3" spans="1:13" s="89" customFormat="1" ht="39.9" customHeight="1" x14ac:dyDescent="0.3">
      <c r="A3" s="138"/>
      <c r="B3" s="100" t="s">
        <v>1301</v>
      </c>
      <c r="C3" s="85" t="s">
        <v>1304</v>
      </c>
      <c r="D3" s="85" t="s">
        <v>348</v>
      </c>
      <c r="E3" s="85" t="s">
        <v>14</v>
      </c>
      <c r="F3" s="85" t="s">
        <v>15</v>
      </c>
      <c r="G3" s="85" t="s">
        <v>71</v>
      </c>
      <c r="H3" s="86">
        <f>CEILING(2300*EUR,10)</f>
        <v>212290</v>
      </c>
      <c r="I3" s="87"/>
      <c r="J3" s="86"/>
      <c r="L3" s="12" t="s">
        <v>1867</v>
      </c>
      <c r="M3" s="115"/>
    </row>
    <row r="4" spans="1:13" s="89" customFormat="1" ht="39.9" customHeight="1" x14ac:dyDescent="0.3">
      <c r="A4" s="138"/>
      <c r="B4" s="100" t="s">
        <v>1302</v>
      </c>
      <c r="C4" s="85" t="s">
        <v>606</v>
      </c>
      <c r="D4" s="90" t="s">
        <v>70</v>
      </c>
      <c r="E4" s="85" t="s">
        <v>14</v>
      </c>
      <c r="F4" s="85" t="s">
        <v>15</v>
      </c>
      <c r="G4" s="85" t="s">
        <v>71</v>
      </c>
      <c r="H4" s="86">
        <f>CEILING(2300*EUR,10)</f>
        <v>212290</v>
      </c>
      <c r="I4" s="87"/>
      <c r="J4" s="86"/>
      <c r="L4" s="12" t="s">
        <v>1867</v>
      </c>
      <c r="M4" s="115"/>
    </row>
    <row r="5" spans="1:13" s="89" customFormat="1" ht="39.9" customHeight="1" x14ac:dyDescent="0.3">
      <c r="A5" s="138"/>
      <c r="B5" s="100" t="s">
        <v>1303</v>
      </c>
      <c r="C5" s="85" t="s">
        <v>607</v>
      </c>
      <c r="D5" s="90" t="s">
        <v>70</v>
      </c>
      <c r="E5" s="85" t="s">
        <v>14</v>
      </c>
      <c r="F5" s="85" t="s">
        <v>15</v>
      </c>
      <c r="G5" s="85" t="s">
        <v>71</v>
      </c>
      <c r="H5" s="86">
        <f>CEILING(2600*EUR,10)</f>
        <v>239980</v>
      </c>
      <c r="I5" s="87"/>
      <c r="J5" s="86"/>
      <c r="L5" s="12" t="s">
        <v>1867</v>
      </c>
      <c r="M5" s="115"/>
    </row>
    <row r="6" spans="1:13" s="89" customFormat="1" ht="20.100000000000001" customHeight="1" x14ac:dyDescent="0.3">
      <c r="A6" s="143" t="s">
        <v>67</v>
      </c>
      <c r="B6" s="143"/>
      <c r="C6" s="143"/>
      <c r="D6" s="143"/>
      <c r="E6" s="143"/>
      <c r="F6" s="143"/>
      <c r="G6" s="143"/>
      <c r="H6" s="143"/>
      <c r="I6" s="143"/>
      <c r="J6" s="143"/>
      <c r="M6" s="115"/>
    </row>
    <row r="7" spans="1:13" s="89" customFormat="1" ht="20.100000000000001" customHeight="1" x14ac:dyDescent="0.3">
      <c r="A7" s="144" t="s">
        <v>1920</v>
      </c>
      <c r="B7" s="145"/>
      <c r="C7" s="145"/>
      <c r="D7" s="145"/>
      <c r="E7" s="145"/>
      <c r="F7" s="145"/>
      <c r="G7" s="146"/>
      <c r="H7" s="86">
        <f>CEILING(600*EUR,10)</f>
        <v>55380</v>
      </c>
      <c r="I7" s="87"/>
      <c r="J7" s="86"/>
      <c r="M7" s="115"/>
    </row>
    <row r="8" spans="1:13" s="89" customFormat="1" ht="20.100000000000001" customHeight="1" x14ac:dyDescent="0.3">
      <c r="A8" s="144" t="s">
        <v>1921</v>
      </c>
      <c r="B8" s="145"/>
      <c r="C8" s="145"/>
      <c r="D8" s="145"/>
      <c r="E8" s="145"/>
      <c r="F8" s="145"/>
      <c r="G8" s="146"/>
      <c r="H8" s="86">
        <f>CEILING(500*EUR,10)</f>
        <v>46150</v>
      </c>
      <c r="I8" s="87"/>
      <c r="J8" s="86"/>
      <c r="M8" s="115"/>
    </row>
    <row r="9" spans="1:13" s="89" customFormat="1" ht="20.100000000000001" customHeight="1" x14ac:dyDescent="0.3">
      <c r="A9" s="144" t="s">
        <v>1922</v>
      </c>
      <c r="B9" s="145"/>
      <c r="C9" s="145"/>
      <c r="D9" s="145"/>
      <c r="E9" s="145"/>
      <c r="F9" s="145"/>
      <c r="G9" s="146"/>
      <c r="H9" s="86">
        <f>CEILING(290*EUR,10)</f>
        <v>26770</v>
      </c>
      <c r="I9" s="87"/>
      <c r="J9" s="86"/>
      <c r="M9" s="115"/>
    </row>
    <row r="10" spans="1:13" s="89" customFormat="1" ht="20.100000000000001" customHeight="1" x14ac:dyDescent="0.3">
      <c r="A10" s="144" t="s">
        <v>1923</v>
      </c>
      <c r="B10" s="145"/>
      <c r="C10" s="145"/>
      <c r="D10" s="145"/>
      <c r="E10" s="145"/>
      <c r="F10" s="145"/>
      <c r="G10" s="146"/>
      <c r="H10" s="86">
        <f>CEILING(550*EUR,10)</f>
        <v>50770</v>
      </c>
      <c r="I10" s="87"/>
      <c r="J10" s="86"/>
      <c r="M10" s="115"/>
    </row>
    <row r="11" spans="1:13" s="89" customFormat="1" ht="20.100000000000001" customHeight="1" x14ac:dyDescent="0.3">
      <c r="A11" s="144" t="s">
        <v>1924</v>
      </c>
      <c r="B11" s="145"/>
      <c r="C11" s="145"/>
      <c r="D11" s="145"/>
      <c r="E11" s="145"/>
      <c r="F11" s="145"/>
      <c r="G11" s="146"/>
      <c r="H11" s="86">
        <f>CEILING(310*EUR,10)</f>
        <v>28620</v>
      </c>
      <c r="I11" s="87"/>
      <c r="J11" s="86"/>
      <c r="M11" s="115"/>
    </row>
    <row r="12" spans="1:13" ht="20.100000000000001" customHeight="1" x14ac:dyDescent="0.3">
      <c r="A12" s="147"/>
      <c r="B12" s="147"/>
      <c r="C12" s="147"/>
      <c r="D12" s="147"/>
      <c r="E12" s="147"/>
      <c r="F12" s="147"/>
      <c r="G12" s="147"/>
      <c r="H12" s="147"/>
      <c r="I12" s="147"/>
      <c r="J12" s="147"/>
    </row>
    <row r="13" spans="1:13" ht="39.9" customHeight="1" x14ac:dyDescent="0.3">
      <c r="A13" s="139" t="s">
        <v>1423</v>
      </c>
      <c r="B13" s="140"/>
      <c r="C13" s="140"/>
      <c r="D13" s="140"/>
      <c r="E13" s="140"/>
      <c r="F13" s="140"/>
      <c r="G13" s="140"/>
      <c r="H13" s="140"/>
      <c r="I13" s="140"/>
      <c r="J13" s="140"/>
    </row>
    <row r="14" spans="1:13" ht="41.4" x14ac:dyDescent="0.3">
      <c r="A14" s="56"/>
      <c r="B14" s="38" t="s">
        <v>2</v>
      </c>
      <c r="C14" s="4" t="s">
        <v>42</v>
      </c>
      <c r="D14" s="4" t="s">
        <v>43</v>
      </c>
      <c r="E14" s="38" t="s">
        <v>9</v>
      </c>
      <c r="F14" s="38" t="s">
        <v>10</v>
      </c>
      <c r="G14" s="4" t="s">
        <v>11</v>
      </c>
      <c r="H14" s="4" t="s">
        <v>17</v>
      </c>
      <c r="I14" s="4"/>
      <c r="J14" s="4"/>
    </row>
    <row r="15" spans="1:13" s="89" customFormat="1" ht="30" customHeight="1" x14ac:dyDescent="0.3">
      <c r="A15" s="138"/>
      <c r="B15" s="100" t="s">
        <v>1305</v>
      </c>
      <c r="C15" s="85" t="s">
        <v>45</v>
      </c>
      <c r="D15" s="85" t="s">
        <v>47</v>
      </c>
      <c r="E15" s="85" t="s">
        <v>14</v>
      </c>
      <c r="F15" s="85" t="s">
        <v>13</v>
      </c>
      <c r="G15" s="85" t="s">
        <v>1165</v>
      </c>
      <c r="H15" s="86">
        <f>CEILING(1200*EUR,10)</f>
        <v>110760</v>
      </c>
      <c r="I15" s="87"/>
      <c r="J15" s="86"/>
      <c r="L15" s="12" t="s">
        <v>1712</v>
      </c>
      <c r="M15" s="115" t="s">
        <v>1815</v>
      </c>
    </row>
    <row r="16" spans="1:13" s="89" customFormat="1" ht="30" customHeight="1" x14ac:dyDescent="0.3">
      <c r="A16" s="138"/>
      <c r="B16" s="100" t="s">
        <v>1306</v>
      </c>
      <c r="C16" s="85" t="s">
        <v>45</v>
      </c>
      <c r="D16" s="85" t="s">
        <v>47</v>
      </c>
      <c r="E16" s="85" t="s">
        <v>14</v>
      </c>
      <c r="F16" s="90" t="s">
        <v>1487</v>
      </c>
      <c r="G16" s="85" t="s">
        <v>1165</v>
      </c>
      <c r="H16" s="86">
        <f>CEILING(1360*EUR,10)</f>
        <v>125530</v>
      </c>
      <c r="I16" s="87"/>
      <c r="J16" s="86"/>
      <c r="L16" s="12" t="s">
        <v>1712</v>
      </c>
      <c r="M16" s="115" t="s">
        <v>1815</v>
      </c>
    </row>
    <row r="17" spans="1:13" s="89" customFormat="1" ht="30" customHeight="1" x14ac:dyDescent="0.3">
      <c r="A17" s="138"/>
      <c r="B17" s="100" t="s">
        <v>1307</v>
      </c>
      <c r="C17" s="85" t="s">
        <v>46</v>
      </c>
      <c r="D17" s="85" t="s">
        <v>47</v>
      </c>
      <c r="E17" s="85" t="s">
        <v>14</v>
      </c>
      <c r="F17" s="129" t="s">
        <v>13</v>
      </c>
      <c r="G17" s="85" t="s">
        <v>1165</v>
      </c>
      <c r="H17" s="86">
        <f>CEILING(1320*EUR,10)</f>
        <v>121840</v>
      </c>
      <c r="I17" s="87"/>
      <c r="J17" s="86"/>
      <c r="L17" s="12" t="s">
        <v>1712</v>
      </c>
      <c r="M17" s="115" t="s">
        <v>1815</v>
      </c>
    </row>
    <row r="18" spans="1:13" s="89" customFormat="1" ht="30" customHeight="1" x14ac:dyDescent="0.3">
      <c r="A18" s="138"/>
      <c r="B18" s="100" t="s">
        <v>1308</v>
      </c>
      <c r="C18" s="85" t="s">
        <v>46</v>
      </c>
      <c r="D18" s="85" t="s">
        <v>47</v>
      </c>
      <c r="E18" s="85" t="s">
        <v>14</v>
      </c>
      <c r="F18" s="90" t="s">
        <v>1487</v>
      </c>
      <c r="G18" s="85" t="s">
        <v>1165</v>
      </c>
      <c r="H18" s="86">
        <f>CEILING(1500*EUR,10)</f>
        <v>138450</v>
      </c>
      <c r="I18" s="87"/>
      <c r="J18" s="86"/>
      <c r="L18" s="12" t="s">
        <v>1712</v>
      </c>
      <c r="M18" s="115" t="s">
        <v>1815</v>
      </c>
    </row>
    <row r="19" spans="1:13" s="89" customFormat="1" ht="30" customHeight="1" x14ac:dyDescent="0.3">
      <c r="A19" s="138"/>
      <c r="B19" s="100" t="s">
        <v>1309</v>
      </c>
      <c r="C19" s="85" t="s">
        <v>242</v>
      </c>
      <c r="D19" s="85" t="s">
        <v>47</v>
      </c>
      <c r="E19" s="85" t="s">
        <v>14</v>
      </c>
      <c r="F19" s="90" t="s">
        <v>1487</v>
      </c>
      <c r="G19" s="85" t="s">
        <v>1165</v>
      </c>
      <c r="H19" s="86">
        <f>CEILING(1730*EUR,10)</f>
        <v>159680</v>
      </c>
      <c r="I19" s="87"/>
      <c r="J19" s="86"/>
      <c r="L19" s="12" t="s">
        <v>1712</v>
      </c>
      <c r="M19" s="115" t="s">
        <v>1815</v>
      </c>
    </row>
    <row r="20" spans="1:13" s="89" customFormat="1" ht="30" customHeight="1" x14ac:dyDescent="0.3">
      <c r="A20" s="138"/>
      <c r="B20" s="100" t="s">
        <v>1310</v>
      </c>
      <c r="C20" s="85" t="s">
        <v>54</v>
      </c>
      <c r="D20" s="85" t="s">
        <v>47</v>
      </c>
      <c r="E20" s="85" t="s">
        <v>14</v>
      </c>
      <c r="F20" s="90" t="s">
        <v>1487</v>
      </c>
      <c r="G20" s="85" t="s">
        <v>1165</v>
      </c>
      <c r="H20" s="86">
        <f>CEILING(3000*EUR,10)</f>
        <v>276900</v>
      </c>
      <c r="I20" s="87"/>
      <c r="J20" s="86"/>
      <c r="L20" s="12" t="s">
        <v>1712</v>
      </c>
      <c r="M20" s="115" t="s">
        <v>1815</v>
      </c>
    </row>
    <row r="21" spans="1:13" s="89" customFormat="1" ht="20.100000000000001" customHeight="1" x14ac:dyDescent="0.3">
      <c r="A21" s="143" t="s">
        <v>67</v>
      </c>
      <c r="B21" s="143"/>
      <c r="C21" s="143"/>
      <c r="D21" s="143"/>
      <c r="E21" s="143"/>
      <c r="F21" s="143"/>
      <c r="G21" s="143"/>
      <c r="H21" s="143"/>
      <c r="I21" s="143"/>
      <c r="J21" s="143"/>
      <c r="M21" s="115"/>
    </row>
    <row r="22" spans="1:13" s="89" customFormat="1" ht="20.100000000000001" customHeight="1" x14ac:dyDescent="0.3">
      <c r="A22" s="144" t="s">
        <v>1920</v>
      </c>
      <c r="B22" s="145"/>
      <c r="C22" s="145"/>
      <c r="D22" s="145"/>
      <c r="E22" s="145"/>
      <c r="F22" s="145"/>
      <c r="G22" s="146"/>
      <c r="H22" s="86">
        <f>CEILING(600*EUR,10)</f>
        <v>55380</v>
      </c>
      <c r="I22" s="87"/>
      <c r="J22" s="86"/>
      <c r="M22" s="115"/>
    </row>
    <row r="23" spans="1:13" s="89" customFormat="1" ht="20.100000000000001" customHeight="1" x14ac:dyDescent="0.3">
      <c r="A23" s="144" t="s">
        <v>1921</v>
      </c>
      <c r="B23" s="145"/>
      <c r="C23" s="145"/>
      <c r="D23" s="145"/>
      <c r="E23" s="145"/>
      <c r="F23" s="145"/>
      <c r="G23" s="146"/>
      <c r="H23" s="86">
        <f>CEILING(500*EUR,10)</f>
        <v>46150</v>
      </c>
      <c r="I23" s="87"/>
      <c r="J23" s="86"/>
      <c r="M23" s="115"/>
    </row>
    <row r="24" spans="1:13" s="89" customFormat="1" ht="20.100000000000001" customHeight="1" x14ac:dyDescent="0.3">
      <c r="A24" s="144" t="s">
        <v>1922</v>
      </c>
      <c r="B24" s="145"/>
      <c r="C24" s="145"/>
      <c r="D24" s="145"/>
      <c r="E24" s="145"/>
      <c r="F24" s="145"/>
      <c r="G24" s="146"/>
      <c r="H24" s="86">
        <f>CEILING(290*EUR,10)</f>
        <v>26770</v>
      </c>
      <c r="I24" s="87"/>
      <c r="J24" s="86"/>
      <c r="M24" s="115"/>
    </row>
    <row r="25" spans="1:13" s="89" customFormat="1" ht="20.100000000000001" customHeight="1" x14ac:dyDescent="0.3">
      <c r="A25" s="144" t="s">
        <v>1923</v>
      </c>
      <c r="B25" s="145"/>
      <c r="C25" s="145"/>
      <c r="D25" s="145"/>
      <c r="E25" s="145"/>
      <c r="F25" s="145"/>
      <c r="G25" s="146"/>
      <c r="H25" s="86">
        <f>CEILING(550*EUR,10)</f>
        <v>50770</v>
      </c>
      <c r="I25" s="87"/>
      <c r="J25" s="86"/>
      <c r="M25" s="115"/>
    </row>
    <row r="26" spans="1:13" s="89" customFormat="1" ht="20.100000000000001" customHeight="1" x14ac:dyDescent="0.3">
      <c r="A26" s="144" t="s">
        <v>1924</v>
      </c>
      <c r="B26" s="145"/>
      <c r="C26" s="145"/>
      <c r="D26" s="145"/>
      <c r="E26" s="145"/>
      <c r="F26" s="145"/>
      <c r="G26" s="146"/>
      <c r="H26" s="86">
        <f>CEILING(310*EUR,10)</f>
        <v>28620</v>
      </c>
      <c r="I26" s="87"/>
      <c r="J26" s="86"/>
      <c r="M26" s="115"/>
    </row>
    <row r="27" spans="1:13" ht="20.100000000000001" customHeight="1" x14ac:dyDescent="0.3">
      <c r="A27" s="147"/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3" ht="39.9" customHeight="1" x14ac:dyDescent="0.3">
      <c r="A28" s="139" t="s">
        <v>1424</v>
      </c>
      <c r="B28" s="140"/>
      <c r="C28" s="140"/>
      <c r="D28" s="140"/>
      <c r="E28" s="140"/>
      <c r="F28" s="140"/>
      <c r="G28" s="140"/>
      <c r="H28" s="140"/>
      <c r="I28" s="140"/>
      <c r="J28" s="140"/>
    </row>
    <row r="29" spans="1:13" ht="41.4" x14ac:dyDescent="0.3">
      <c r="A29" s="56"/>
      <c r="B29" s="38" t="s">
        <v>2</v>
      </c>
      <c r="C29" s="4" t="s">
        <v>42</v>
      </c>
      <c r="D29" s="4" t="s">
        <v>43</v>
      </c>
      <c r="E29" s="38" t="s">
        <v>9</v>
      </c>
      <c r="F29" s="38" t="s">
        <v>10</v>
      </c>
      <c r="G29" s="4" t="s">
        <v>11</v>
      </c>
      <c r="H29" s="4" t="s">
        <v>17</v>
      </c>
      <c r="I29" s="4"/>
      <c r="J29" s="4"/>
    </row>
    <row r="30" spans="1:13" s="89" customFormat="1" ht="30" customHeight="1" x14ac:dyDescent="0.3">
      <c r="A30" s="141"/>
      <c r="B30" s="100" t="s">
        <v>1311</v>
      </c>
      <c r="C30" s="91" t="s">
        <v>46</v>
      </c>
      <c r="D30" s="85" t="s">
        <v>48</v>
      </c>
      <c r="E30" s="85" t="s">
        <v>27</v>
      </c>
      <c r="F30" s="90" t="s">
        <v>1487</v>
      </c>
      <c r="G30" s="85" t="s">
        <v>1319</v>
      </c>
      <c r="H30" s="86">
        <f>CEILING(985*EUR,10)</f>
        <v>90920</v>
      </c>
      <c r="I30" s="87"/>
      <c r="J30" s="86"/>
      <c r="M30" s="115"/>
    </row>
    <row r="31" spans="1:13" s="89" customFormat="1" ht="30" customHeight="1" x14ac:dyDescent="0.3">
      <c r="A31" s="142"/>
      <c r="B31" s="100" t="s">
        <v>1312</v>
      </c>
      <c r="C31" s="91" t="s">
        <v>1318</v>
      </c>
      <c r="D31" s="85" t="s">
        <v>48</v>
      </c>
      <c r="E31" s="85" t="s">
        <v>27</v>
      </c>
      <c r="F31" s="90" t="s">
        <v>1487</v>
      </c>
      <c r="G31" s="85" t="s">
        <v>1319</v>
      </c>
      <c r="H31" s="86">
        <f>CEILING(1045*EUR,10)</f>
        <v>96460</v>
      </c>
      <c r="I31" s="87"/>
      <c r="J31" s="86"/>
      <c r="M31" s="115"/>
    </row>
    <row r="32" spans="1:13" s="89" customFormat="1" ht="30" customHeight="1" x14ac:dyDescent="0.3">
      <c r="A32" s="142"/>
      <c r="B32" s="100" t="s">
        <v>1313</v>
      </c>
      <c r="C32" s="91" t="s">
        <v>356</v>
      </c>
      <c r="D32" s="85" t="s">
        <v>48</v>
      </c>
      <c r="E32" s="85" t="s">
        <v>27</v>
      </c>
      <c r="F32" s="90" t="s">
        <v>1487</v>
      </c>
      <c r="G32" s="85" t="s">
        <v>1319</v>
      </c>
      <c r="H32" s="86">
        <f>CEILING(1125*EUR,10)</f>
        <v>103840</v>
      </c>
      <c r="I32" s="87"/>
      <c r="J32" s="86"/>
      <c r="M32" s="115"/>
    </row>
    <row r="33" spans="1:13" s="89" customFormat="1" ht="30" customHeight="1" x14ac:dyDescent="0.3">
      <c r="A33" s="142"/>
      <c r="B33" s="100" t="s">
        <v>1314</v>
      </c>
      <c r="C33" s="91" t="s">
        <v>55</v>
      </c>
      <c r="D33" s="85" t="s">
        <v>48</v>
      </c>
      <c r="E33" s="85" t="s">
        <v>27</v>
      </c>
      <c r="F33" s="90" t="s">
        <v>1487</v>
      </c>
      <c r="G33" s="85" t="s">
        <v>1319</v>
      </c>
      <c r="H33" s="86">
        <f>CEILING(1320*EUR,10)</f>
        <v>121840</v>
      </c>
      <c r="I33" s="87"/>
      <c r="J33" s="86"/>
      <c r="M33" s="115"/>
    </row>
    <row r="34" spans="1:13" s="89" customFormat="1" ht="30" customHeight="1" x14ac:dyDescent="0.3">
      <c r="A34" s="142"/>
      <c r="B34" s="100" t="s">
        <v>1315</v>
      </c>
      <c r="C34" s="91" t="s">
        <v>56</v>
      </c>
      <c r="D34" s="85" t="s">
        <v>48</v>
      </c>
      <c r="E34" s="85" t="s">
        <v>14</v>
      </c>
      <c r="F34" s="90" t="s">
        <v>1487</v>
      </c>
      <c r="G34" s="85" t="s">
        <v>1319</v>
      </c>
      <c r="H34" s="86">
        <f>CEILING(1500*EUR,10)</f>
        <v>138450</v>
      </c>
      <c r="I34" s="87"/>
      <c r="J34" s="86"/>
      <c r="M34" s="115"/>
    </row>
    <row r="35" spans="1:13" s="89" customFormat="1" ht="30" customHeight="1" x14ac:dyDescent="0.3">
      <c r="A35" s="142"/>
      <c r="B35" s="100" t="s">
        <v>1316</v>
      </c>
      <c r="C35" s="91" t="s">
        <v>57</v>
      </c>
      <c r="D35" s="85" t="s">
        <v>48</v>
      </c>
      <c r="E35" s="85" t="s">
        <v>14</v>
      </c>
      <c r="F35" s="90" t="s">
        <v>1487</v>
      </c>
      <c r="G35" s="85" t="s">
        <v>1319</v>
      </c>
      <c r="H35" s="86">
        <f>CEILING(1660*EUR,10)</f>
        <v>153220</v>
      </c>
      <c r="I35" s="87"/>
      <c r="J35" s="86"/>
      <c r="M35" s="115"/>
    </row>
    <row r="36" spans="1:13" s="89" customFormat="1" ht="30" customHeight="1" x14ac:dyDescent="0.3">
      <c r="A36" s="142"/>
      <c r="B36" s="100" t="s">
        <v>1317</v>
      </c>
      <c r="C36" s="91" t="s">
        <v>182</v>
      </c>
      <c r="D36" s="85" t="s">
        <v>48</v>
      </c>
      <c r="E36" s="85" t="s">
        <v>14</v>
      </c>
      <c r="F36" s="90" t="s">
        <v>1487</v>
      </c>
      <c r="G36" s="85" t="s">
        <v>1319</v>
      </c>
      <c r="H36" s="86">
        <f>CEILING(2600*EUR,10)</f>
        <v>239980</v>
      </c>
      <c r="I36" s="87"/>
      <c r="J36" s="86"/>
      <c r="L36" s="12" t="s">
        <v>1867</v>
      </c>
      <c r="M36" s="115"/>
    </row>
    <row r="37" spans="1:13" s="89" customFormat="1" ht="30" customHeight="1" x14ac:dyDescent="0.3">
      <c r="A37" s="138"/>
      <c r="B37" s="100" t="s">
        <v>1320</v>
      </c>
      <c r="C37" s="91" t="s">
        <v>58</v>
      </c>
      <c r="D37" s="85" t="s">
        <v>49</v>
      </c>
      <c r="E37" s="85" t="s">
        <v>27</v>
      </c>
      <c r="F37" s="90" t="s">
        <v>1487</v>
      </c>
      <c r="G37" s="85" t="s">
        <v>1176</v>
      </c>
      <c r="H37" s="86">
        <f>CEILING(1000*EUR,10)</f>
        <v>92300</v>
      </c>
      <c r="I37" s="87"/>
      <c r="J37" s="86"/>
      <c r="M37" s="115"/>
    </row>
    <row r="38" spans="1:13" s="89" customFormat="1" ht="30" customHeight="1" x14ac:dyDescent="0.3">
      <c r="A38" s="138"/>
      <c r="B38" s="100" t="s">
        <v>1321</v>
      </c>
      <c r="C38" s="91" t="s">
        <v>59</v>
      </c>
      <c r="D38" s="85" t="s">
        <v>49</v>
      </c>
      <c r="E38" s="85" t="s">
        <v>27</v>
      </c>
      <c r="F38" s="90" t="s">
        <v>1487</v>
      </c>
      <c r="G38" s="85" t="s">
        <v>1176</v>
      </c>
      <c r="H38" s="86">
        <f>CEILING(1060*EUR,10)</f>
        <v>97840</v>
      </c>
      <c r="I38" s="87"/>
      <c r="J38" s="86"/>
      <c r="M38" s="115"/>
    </row>
    <row r="39" spans="1:13" s="89" customFormat="1" ht="30" customHeight="1" x14ac:dyDescent="0.3">
      <c r="A39" s="138"/>
      <c r="B39" s="100" t="s">
        <v>1322</v>
      </c>
      <c r="C39" s="91" t="s">
        <v>99</v>
      </c>
      <c r="D39" s="85" t="s">
        <v>49</v>
      </c>
      <c r="E39" s="85" t="s">
        <v>27</v>
      </c>
      <c r="F39" s="90" t="s">
        <v>1487</v>
      </c>
      <c r="G39" s="85" t="s">
        <v>1176</v>
      </c>
      <c r="H39" s="86">
        <f>CEILING(1180*EUR,10)</f>
        <v>108920</v>
      </c>
      <c r="I39" s="87"/>
      <c r="J39" s="86"/>
      <c r="M39" s="115"/>
    </row>
    <row r="40" spans="1:13" s="89" customFormat="1" ht="30" customHeight="1" x14ac:dyDescent="0.3">
      <c r="A40" s="138"/>
      <c r="B40" s="100" t="s">
        <v>1323</v>
      </c>
      <c r="C40" s="91" t="s">
        <v>384</v>
      </c>
      <c r="D40" s="85" t="s">
        <v>49</v>
      </c>
      <c r="E40" s="85" t="s">
        <v>27</v>
      </c>
      <c r="F40" s="90" t="s">
        <v>1487</v>
      </c>
      <c r="G40" s="85" t="s">
        <v>1176</v>
      </c>
      <c r="H40" s="86">
        <f>CEILING(1380*EUR,10)</f>
        <v>127380</v>
      </c>
      <c r="I40" s="87"/>
      <c r="J40" s="86"/>
      <c r="M40" s="115"/>
    </row>
    <row r="41" spans="1:13" s="89" customFormat="1" ht="30" customHeight="1" x14ac:dyDescent="0.3">
      <c r="A41" s="138"/>
      <c r="B41" s="100" t="s">
        <v>1324</v>
      </c>
      <c r="C41" s="91" t="s">
        <v>100</v>
      </c>
      <c r="D41" s="85" t="s">
        <v>49</v>
      </c>
      <c r="E41" s="85" t="s">
        <v>27</v>
      </c>
      <c r="F41" s="90" t="s">
        <v>1487</v>
      </c>
      <c r="G41" s="85" t="s">
        <v>1176</v>
      </c>
      <c r="H41" s="86">
        <f>CEILING(1620*EUR,10)</f>
        <v>149530</v>
      </c>
      <c r="I41" s="87"/>
      <c r="J41" s="86"/>
      <c r="M41" s="115"/>
    </row>
    <row r="42" spans="1:13" s="89" customFormat="1" ht="30" customHeight="1" x14ac:dyDescent="0.3">
      <c r="A42" s="138"/>
      <c r="B42" s="100" t="s">
        <v>1325</v>
      </c>
      <c r="C42" s="91" t="s">
        <v>101</v>
      </c>
      <c r="D42" s="85" t="s">
        <v>49</v>
      </c>
      <c r="E42" s="85" t="s">
        <v>14</v>
      </c>
      <c r="F42" s="85" t="s">
        <v>13</v>
      </c>
      <c r="G42" s="85" t="s">
        <v>1176</v>
      </c>
      <c r="H42" s="86">
        <f>CEILING(1800*EUR,10)</f>
        <v>166140</v>
      </c>
      <c r="I42" s="87"/>
      <c r="J42" s="86"/>
      <c r="L42" s="12" t="s">
        <v>1864</v>
      </c>
      <c r="M42" s="115"/>
    </row>
    <row r="43" spans="1:13" s="89" customFormat="1" ht="20.100000000000001" customHeight="1" x14ac:dyDescent="0.3">
      <c r="A43" s="143" t="s">
        <v>67</v>
      </c>
      <c r="B43" s="143"/>
      <c r="C43" s="143"/>
      <c r="D43" s="143"/>
      <c r="E43" s="143"/>
      <c r="F43" s="143"/>
      <c r="G43" s="143"/>
      <c r="H43" s="143"/>
      <c r="I43" s="143"/>
      <c r="J43" s="143"/>
      <c r="M43" s="115"/>
    </row>
    <row r="44" spans="1:13" s="89" customFormat="1" ht="20.100000000000001" customHeight="1" x14ac:dyDescent="0.3">
      <c r="A44" s="144" t="s">
        <v>1925</v>
      </c>
      <c r="B44" s="145"/>
      <c r="C44" s="145"/>
      <c r="D44" s="145"/>
      <c r="E44" s="145"/>
      <c r="F44" s="145"/>
      <c r="G44" s="146"/>
      <c r="H44" s="86">
        <f>CEILING(600*EUR,10)</f>
        <v>55380</v>
      </c>
      <c r="I44" s="87"/>
      <c r="J44" s="86"/>
      <c r="M44" s="115"/>
    </row>
    <row r="45" spans="1:13" s="89" customFormat="1" ht="20.100000000000001" customHeight="1" x14ac:dyDescent="0.3">
      <c r="A45" s="144" t="s">
        <v>1926</v>
      </c>
      <c r="B45" s="145"/>
      <c r="C45" s="145"/>
      <c r="D45" s="145"/>
      <c r="E45" s="145"/>
      <c r="F45" s="145"/>
      <c r="G45" s="146"/>
      <c r="H45" s="86">
        <f>CEILING(600*EUR,10)</f>
        <v>55380</v>
      </c>
      <c r="I45" s="87"/>
      <c r="J45" s="86"/>
      <c r="M45" s="115"/>
    </row>
    <row r="46" spans="1:13" s="89" customFormat="1" ht="20.100000000000001" customHeight="1" x14ac:dyDescent="0.3">
      <c r="A46" s="144" t="s">
        <v>1921</v>
      </c>
      <c r="B46" s="145"/>
      <c r="C46" s="145"/>
      <c r="D46" s="145"/>
      <c r="E46" s="145"/>
      <c r="F46" s="145"/>
      <c r="G46" s="146"/>
      <c r="H46" s="86">
        <f>CEILING(500*EUR,10)</f>
        <v>46150</v>
      </c>
      <c r="I46" s="87"/>
      <c r="J46" s="86"/>
      <c r="M46" s="115"/>
    </row>
    <row r="47" spans="1:13" s="89" customFormat="1" ht="20.100000000000001" customHeight="1" x14ac:dyDescent="0.3">
      <c r="A47" s="144" t="s">
        <v>1922</v>
      </c>
      <c r="B47" s="145"/>
      <c r="C47" s="145"/>
      <c r="D47" s="145"/>
      <c r="E47" s="145"/>
      <c r="F47" s="145"/>
      <c r="G47" s="146"/>
      <c r="H47" s="86">
        <f>CEILING(290*EUR,10)</f>
        <v>26770</v>
      </c>
      <c r="I47" s="87"/>
      <c r="J47" s="86"/>
      <c r="M47" s="115"/>
    </row>
    <row r="48" spans="1:13" s="89" customFormat="1" ht="20.100000000000001" customHeight="1" x14ac:dyDescent="0.3">
      <c r="A48" s="144" t="s">
        <v>1927</v>
      </c>
      <c r="B48" s="145"/>
      <c r="C48" s="145"/>
      <c r="D48" s="145"/>
      <c r="E48" s="145"/>
      <c r="F48" s="145"/>
      <c r="G48" s="146"/>
      <c r="H48" s="86">
        <f>CEILING(550*EUR,10)</f>
        <v>50770</v>
      </c>
      <c r="I48" s="87"/>
      <c r="J48" s="86"/>
      <c r="M48" s="115"/>
    </row>
    <row r="49" spans="1:13" s="89" customFormat="1" ht="20.100000000000001" customHeight="1" x14ac:dyDescent="0.3">
      <c r="A49" s="144" t="s">
        <v>1924</v>
      </c>
      <c r="B49" s="145"/>
      <c r="C49" s="145"/>
      <c r="D49" s="145"/>
      <c r="E49" s="145"/>
      <c r="F49" s="145"/>
      <c r="G49" s="146"/>
      <c r="H49" s="86">
        <f>CEILING(310*EUR,10)</f>
        <v>28620</v>
      </c>
      <c r="I49" s="87"/>
      <c r="J49" s="86"/>
      <c r="M49" s="115"/>
    </row>
  </sheetData>
  <mergeCells count="28">
    <mergeCell ref="A47:G47"/>
    <mergeCell ref="A46:G46"/>
    <mergeCell ref="A22:G22"/>
    <mergeCell ref="A26:G26"/>
    <mergeCell ref="A23:G23"/>
    <mergeCell ref="A24:G24"/>
    <mergeCell ref="A25:G25"/>
    <mergeCell ref="A30:A36"/>
    <mergeCell ref="A37:A42"/>
    <mergeCell ref="A43:J43"/>
    <mergeCell ref="A28:J28"/>
    <mergeCell ref="A44:G44"/>
    <mergeCell ref="A48:G48"/>
    <mergeCell ref="A49:G49"/>
    <mergeCell ref="A45:G45"/>
    <mergeCell ref="A1:J1"/>
    <mergeCell ref="A3:A5"/>
    <mergeCell ref="A6:J6"/>
    <mergeCell ref="A13:J13"/>
    <mergeCell ref="A15:A20"/>
    <mergeCell ref="A7:G7"/>
    <mergeCell ref="A11:G11"/>
    <mergeCell ref="A8:G8"/>
    <mergeCell ref="A9:G9"/>
    <mergeCell ref="A10:G10"/>
    <mergeCell ref="A21:J21"/>
    <mergeCell ref="A12:J12"/>
    <mergeCell ref="A27:J27"/>
  </mergeCells>
  <hyperlinks>
    <hyperlink ref="B3" r:id="rId1"/>
    <hyperlink ref="B4" r:id="rId2"/>
    <hyperlink ref="B5" r:id="rId3"/>
    <hyperlink ref="B15" r:id="rId4"/>
    <hyperlink ref="B17" r:id="rId5"/>
    <hyperlink ref="B16" r:id="rId6"/>
    <hyperlink ref="B18" r:id="rId7"/>
    <hyperlink ref="B19" r:id="rId8"/>
    <hyperlink ref="B20" r:id="rId9"/>
    <hyperlink ref="B30" r:id="rId10"/>
    <hyperlink ref="B31" r:id="rId11"/>
    <hyperlink ref="B32" r:id="rId12"/>
    <hyperlink ref="B33" r:id="rId13"/>
    <hyperlink ref="B34" r:id="rId14"/>
    <hyperlink ref="B35" r:id="rId15"/>
    <hyperlink ref="B37" r:id="rId16"/>
    <hyperlink ref="B38" r:id="rId17"/>
    <hyperlink ref="B39" r:id="rId18"/>
    <hyperlink ref="B40" r:id="rId19"/>
    <hyperlink ref="B42" r:id="rId20"/>
    <hyperlink ref="B41" r:id="rId21"/>
    <hyperlink ref="B36" r:id="rId22"/>
  </hyperlinks>
  <pageMargins left="0.7" right="0.7" top="0.75" bottom="0.75" header="0.3" footer="0.3"/>
  <pageSetup paperSize="9" orientation="portrait" r:id="rId23"/>
  <drawing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39"/>
  <sheetViews>
    <sheetView topLeftCell="A43" zoomScale="90" zoomScaleNormal="90" workbookViewId="0">
      <selection activeCell="I37" sqref="I37:J39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3" width="20.6640625" style="1" customWidth="1"/>
    <col min="4" max="4" width="15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7.5546875" style="1" hidden="1" customWidth="1"/>
    <col min="13" max="13" width="0" style="12" hidden="1" customWidth="1"/>
    <col min="14" max="14" width="9.109375" style="12"/>
    <col min="15" max="16384" width="9.109375" style="1"/>
  </cols>
  <sheetData>
    <row r="1" spans="1:14" ht="39.9" customHeight="1" x14ac:dyDescent="0.3">
      <c r="A1" s="139" t="s">
        <v>1426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4" ht="30" customHeight="1" x14ac:dyDescent="0.3">
      <c r="A2" s="5"/>
      <c r="B2" s="3" t="s">
        <v>2</v>
      </c>
      <c r="C2" s="4" t="s">
        <v>42</v>
      </c>
      <c r="D2" s="4" t="s">
        <v>43</v>
      </c>
      <c r="E2" s="3" t="s">
        <v>9</v>
      </c>
      <c r="F2" s="3" t="s">
        <v>10</v>
      </c>
      <c r="G2" s="4" t="s">
        <v>11</v>
      </c>
      <c r="H2" s="4" t="s">
        <v>17</v>
      </c>
      <c r="I2" s="4"/>
      <c r="J2" s="4"/>
    </row>
    <row r="3" spans="1:14" s="89" customFormat="1" ht="24.9" customHeight="1" x14ac:dyDescent="0.3">
      <c r="A3" s="138"/>
      <c r="B3" s="132" t="s">
        <v>3</v>
      </c>
      <c r="C3" s="85" t="s">
        <v>44</v>
      </c>
      <c r="D3" s="85" t="s">
        <v>47</v>
      </c>
      <c r="E3" s="85" t="s">
        <v>14</v>
      </c>
      <c r="F3" s="85" t="s">
        <v>13</v>
      </c>
      <c r="G3" s="85" t="s">
        <v>16</v>
      </c>
      <c r="H3" s="86">
        <f>CEILING(1340*USD,10)</f>
        <v>102180</v>
      </c>
      <c r="I3" s="87"/>
      <c r="J3" s="86"/>
      <c r="L3" s="12" t="s">
        <v>1713</v>
      </c>
      <c r="M3" s="115"/>
      <c r="N3" s="115"/>
    </row>
    <row r="4" spans="1:14" s="89" customFormat="1" ht="24.9" customHeight="1" x14ac:dyDescent="0.3">
      <c r="A4" s="138"/>
      <c r="B4" s="132" t="s">
        <v>4</v>
      </c>
      <c r="C4" s="85" t="s">
        <v>45</v>
      </c>
      <c r="D4" s="85" t="s">
        <v>47</v>
      </c>
      <c r="E4" s="85" t="s">
        <v>14</v>
      </c>
      <c r="F4" s="85" t="s">
        <v>13</v>
      </c>
      <c r="G4" s="85" t="s">
        <v>16</v>
      </c>
      <c r="H4" s="86">
        <f>CEILING(1360*USD,10)</f>
        <v>103700</v>
      </c>
      <c r="I4" s="87"/>
      <c r="J4" s="86"/>
      <c r="L4" s="12" t="s">
        <v>1713</v>
      </c>
      <c r="M4" s="115"/>
      <c r="N4" s="115"/>
    </row>
    <row r="5" spans="1:14" s="89" customFormat="1" ht="24.9" customHeight="1" x14ac:dyDescent="0.3">
      <c r="A5" s="138"/>
      <c r="B5" s="132" t="s">
        <v>5</v>
      </c>
      <c r="C5" s="85" t="s">
        <v>46</v>
      </c>
      <c r="D5" s="85" t="s">
        <v>47</v>
      </c>
      <c r="E5" s="85" t="s">
        <v>14</v>
      </c>
      <c r="F5" s="85" t="s">
        <v>13</v>
      </c>
      <c r="G5" s="85" t="s">
        <v>16</v>
      </c>
      <c r="H5" s="86">
        <f>CEILING(1380*USD,10)</f>
        <v>105230</v>
      </c>
      <c r="I5" s="87"/>
      <c r="J5" s="86"/>
      <c r="L5" s="12" t="s">
        <v>1713</v>
      </c>
      <c r="M5" s="115"/>
      <c r="N5" s="115"/>
    </row>
    <row r="6" spans="1:14" s="89" customFormat="1" ht="24.9" customHeight="1" x14ac:dyDescent="0.3">
      <c r="A6" s="138"/>
      <c r="B6" s="132" t="s">
        <v>6</v>
      </c>
      <c r="C6" s="85" t="s">
        <v>44</v>
      </c>
      <c r="D6" s="85" t="s">
        <v>47</v>
      </c>
      <c r="E6" s="85" t="s">
        <v>14</v>
      </c>
      <c r="F6" s="90" t="s">
        <v>1487</v>
      </c>
      <c r="G6" s="85" t="s">
        <v>16</v>
      </c>
      <c r="H6" s="86">
        <f>CEILING(1440*USD,10)</f>
        <v>109800</v>
      </c>
      <c r="I6" s="87"/>
      <c r="J6" s="86"/>
      <c r="L6" s="12" t="s">
        <v>1713</v>
      </c>
      <c r="M6" s="115"/>
      <c r="N6" s="115"/>
    </row>
    <row r="7" spans="1:14" s="89" customFormat="1" ht="24.9" customHeight="1" x14ac:dyDescent="0.3">
      <c r="A7" s="138"/>
      <c r="B7" s="132" t="s">
        <v>7</v>
      </c>
      <c r="C7" s="85" t="s">
        <v>45</v>
      </c>
      <c r="D7" s="85" t="s">
        <v>47</v>
      </c>
      <c r="E7" s="85" t="s">
        <v>14</v>
      </c>
      <c r="F7" s="90" t="s">
        <v>1487</v>
      </c>
      <c r="G7" s="85" t="s">
        <v>16</v>
      </c>
      <c r="H7" s="86">
        <f>CEILING(1460*USD,10)</f>
        <v>111330</v>
      </c>
      <c r="I7" s="87"/>
      <c r="J7" s="86"/>
      <c r="L7" s="12" t="s">
        <v>1713</v>
      </c>
      <c r="M7" s="115"/>
      <c r="N7" s="115"/>
    </row>
    <row r="8" spans="1:14" s="89" customFormat="1" ht="24.9" customHeight="1" x14ac:dyDescent="0.3">
      <c r="A8" s="138"/>
      <c r="B8" s="132" t="s">
        <v>8</v>
      </c>
      <c r="C8" s="85" t="s">
        <v>46</v>
      </c>
      <c r="D8" s="85" t="s">
        <v>47</v>
      </c>
      <c r="E8" s="85" t="s">
        <v>14</v>
      </c>
      <c r="F8" s="90" t="s">
        <v>1487</v>
      </c>
      <c r="G8" s="85" t="s">
        <v>16</v>
      </c>
      <c r="H8" s="86">
        <f>CEILING(1480*USD,10)</f>
        <v>112850</v>
      </c>
      <c r="I8" s="87"/>
      <c r="J8" s="86"/>
      <c r="L8" s="12" t="s">
        <v>1713</v>
      </c>
      <c r="M8" s="115"/>
      <c r="N8" s="115"/>
    </row>
    <row r="9" spans="1:14" s="89" customFormat="1" ht="20.100000000000001" customHeight="1" x14ac:dyDescent="0.3">
      <c r="A9" s="143" t="s">
        <v>67</v>
      </c>
      <c r="B9" s="143"/>
      <c r="C9" s="143"/>
      <c r="D9" s="143"/>
      <c r="E9" s="143"/>
      <c r="F9" s="143"/>
      <c r="G9" s="143"/>
      <c r="H9" s="143"/>
      <c r="I9" s="143"/>
      <c r="J9" s="143"/>
      <c r="M9" s="115"/>
      <c r="N9" s="115"/>
    </row>
    <row r="10" spans="1:14" s="89" customFormat="1" ht="20.100000000000001" customHeight="1" x14ac:dyDescent="0.3">
      <c r="A10" s="144" t="s">
        <v>68</v>
      </c>
      <c r="B10" s="145"/>
      <c r="C10" s="145"/>
      <c r="D10" s="145"/>
      <c r="E10" s="145"/>
      <c r="F10" s="145"/>
      <c r="G10" s="146"/>
      <c r="H10" s="86">
        <f>CEILING(540*USD,10)</f>
        <v>41180</v>
      </c>
      <c r="I10" s="87"/>
      <c r="J10" s="86"/>
      <c r="M10" s="115"/>
      <c r="N10" s="115"/>
    </row>
    <row r="11" spans="1:14" s="89" customFormat="1" ht="20.100000000000001" customHeight="1" x14ac:dyDescent="0.3">
      <c r="A11" s="144" t="s">
        <v>1022</v>
      </c>
      <c r="B11" s="145"/>
      <c r="C11" s="145"/>
      <c r="D11" s="145"/>
      <c r="E11" s="145"/>
      <c r="F11" s="145"/>
      <c r="G11" s="146"/>
      <c r="H11" s="86">
        <f>CEILING(100*USD,10)</f>
        <v>7630</v>
      </c>
      <c r="I11" s="87"/>
      <c r="J11" s="86"/>
      <c r="M11" s="115"/>
      <c r="N11" s="115"/>
    </row>
    <row r="12" spans="1:14" s="89" customFormat="1" ht="20.100000000000001" customHeight="1" x14ac:dyDescent="0.3">
      <c r="A12" s="144" t="s">
        <v>938</v>
      </c>
      <c r="B12" s="145"/>
      <c r="C12" s="145"/>
      <c r="D12" s="145"/>
      <c r="E12" s="145"/>
      <c r="F12" s="145"/>
      <c r="G12" s="146"/>
      <c r="H12" s="86">
        <f>CEILING(380*USD,10)</f>
        <v>28980</v>
      </c>
      <c r="I12" s="87"/>
      <c r="J12" s="86"/>
      <c r="M12" s="115"/>
      <c r="N12" s="115"/>
    </row>
    <row r="13" spans="1:14" s="89" customFormat="1" ht="20.100000000000001" customHeight="1" x14ac:dyDescent="0.3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M13" s="115"/>
      <c r="N13" s="115"/>
    </row>
    <row r="14" spans="1:14" ht="39.9" customHeight="1" x14ac:dyDescent="0.3">
      <c r="A14" s="139" t="s">
        <v>1919</v>
      </c>
      <c r="B14" s="140"/>
      <c r="C14" s="140"/>
      <c r="D14" s="140"/>
      <c r="E14" s="140"/>
      <c r="F14" s="140"/>
      <c r="G14" s="140"/>
      <c r="H14" s="140"/>
      <c r="I14" s="140"/>
      <c r="J14" s="140"/>
    </row>
    <row r="15" spans="1:14" ht="41.4" x14ac:dyDescent="0.3">
      <c r="A15" s="5"/>
      <c r="B15" s="3" t="s">
        <v>2</v>
      </c>
      <c r="C15" s="4" t="s">
        <v>42</v>
      </c>
      <c r="D15" s="4" t="s">
        <v>43</v>
      </c>
      <c r="E15" s="38" t="s">
        <v>9</v>
      </c>
      <c r="F15" s="3" t="s">
        <v>10</v>
      </c>
      <c r="G15" s="4" t="s">
        <v>11</v>
      </c>
      <c r="H15" s="4" t="s">
        <v>17</v>
      </c>
      <c r="I15" s="4"/>
      <c r="J15" s="4"/>
    </row>
    <row r="16" spans="1:14" s="89" customFormat="1" ht="24.9" customHeight="1" x14ac:dyDescent="0.3">
      <c r="A16" s="142"/>
      <c r="B16" s="100" t="s">
        <v>19</v>
      </c>
      <c r="C16" s="91" t="s">
        <v>54</v>
      </c>
      <c r="D16" s="85" t="s">
        <v>48</v>
      </c>
      <c r="E16" s="85" t="s">
        <v>27</v>
      </c>
      <c r="F16" s="85" t="s">
        <v>13</v>
      </c>
      <c r="G16" s="85" t="s">
        <v>26</v>
      </c>
      <c r="H16" s="61">
        <f>CEILING(1000*USD,10)</f>
        <v>76250</v>
      </c>
      <c r="I16" s="87"/>
      <c r="J16" s="86"/>
      <c r="M16" s="115"/>
      <c r="N16" s="115"/>
    </row>
    <row r="17" spans="1:14" s="89" customFormat="1" ht="24.9" customHeight="1" x14ac:dyDescent="0.3">
      <c r="A17" s="142"/>
      <c r="B17" s="100" t="s">
        <v>20</v>
      </c>
      <c r="C17" s="91" t="s">
        <v>55</v>
      </c>
      <c r="D17" s="85" t="s">
        <v>48</v>
      </c>
      <c r="E17" s="85" t="s">
        <v>14</v>
      </c>
      <c r="F17" s="85" t="s">
        <v>13</v>
      </c>
      <c r="G17" s="85" t="s">
        <v>26</v>
      </c>
      <c r="H17" s="61">
        <f>CEILING(1200*USD,10)</f>
        <v>91500</v>
      </c>
      <c r="I17" s="87"/>
      <c r="J17" s="86"/>
      <c r="L17" s="12" t="s">
        <v>1993</v>
      </c>
      <c r="M17" s="115">
        <v>5.6</v>
      </c>
      <c r="N17" s="115"/>
    </row>
    <row r="18" spans="1:14" s="89" customFormat="1" ht="24.9" customHeight="1" x14ac:dyDescent="0.3">
      <c r="A18" s="142"/>
      <c r="B18" s="100" t="s">
        <v>21</v>
      </c>
      <c r="C18" s="85" t="s">
        <v>56</v>
      </c>
      <c r="D18" s="85" t="s">
        <v>48</v>
      </c>
      <c r="E18" s="85" t="s">
        <v>14</v>
      </c>
      <c r="F18" s="85" t="s">
        <v>13</v>
      </c>
      <c r="G18" s="85" t="s">
        <v>26</v>
      </c>
      <c r="H18" s="61">
        <f>CEILING(1220*USD,10)</f>
        <v>93030</v>
      </c>
      <c r="I18" s="87"/>
      <c r="J18" s="86"/>
      <c r="M18" s="115"/>
      <c r="N18" s="115"/>
    </row>
    <row r="19" spans="1:14" s="89" customFormat="1" ht="24.9" customHeight="1" x14ac:dyDescent="0.3">
      <c r="A19" s="142"/>
      <c r="B19" s="100" t="s">
        <v>22</v>
      </c>
      <c r="C19" s="15" t="s">
        <v>46</v>
      </c>
      <c r="D19" s="15" t="s">
        <v>48</v>
      </c>
      <c r="E19" s="15" t="s">
        <v>27</v>
      </c>
      <c r="F19" s="90" t="s">
        <v>1487</v>
      </c>
      <c r="G19" s="15" t="s">
        <v>26</v>
      </c>
      <c r="H19" s="61">
        <f>CEILING(1070*USD,10)</f>
        <v>81590</v>
      </c>
      <c r="I19" s="87"/>
      <c r="J19" s="86"/>
      <c r="M19" s="115"/>
      <c r="N19" s="115"/>
    </row>
    <row r="20" spans="1:14" s="89" customFormat="1" ht="24.9" customHeight="1" x14ac:dyDescent="0.3">
      <c r="A20" s="142"/>
      <c r="B20" s="100" t="s">
        <v>23</v>
      </c>
      <c r="C20" s="15" t="s">
        <v>52</v>
      </c>
      <c r="D20" s="15" t="s">
        <v>48</v>
      </c>
      <c r="E20" s="15" t="s">
        <v>27</v>
      </c>
      <c r="F20" s="90" t="s">
        <v>1487</v>
      </c>
      <c r="G20" s="15" t="s">
        <v>26</v>
      </c>
      <c r="H20" s="61">
        <f>CEILING(1080*USD,10)</f>
        <v>82350</v>
      </c>
      <c r="I20" s="87"/>
      <c r="J20" s="86"/>
      <c r="M20" s="115"/>
      <c r="N20" s="115"/>
    </row>
    <row r="21" spans="1:14" s="89" customFormat="1" ht="24.9" customHeight="1" x14ac:dyDescent="0.3">
      <c r="A21" s="142"/>
      <c r="B21" s="100" t="s">
        <v>24</v>
      </c>
      <c r="C21" s="85" t="s">
        <v>54</v>
      </c>
      <c r="D21" s="85" t="s">
        <v>48</v>
      </c>
      <c r="E21" s="85" t="s">
        <v>27</v>
      </c>
      <c r="F21" s="90" t="s">
        <v>1487</v>
      </c>
      <c r="G21" s="85" t="s">
        <v>26</v>
      </c>
      <c r="H21" s="61">
        <f>CEILING(1100*USD,10)</f>
        <v>83880</v>
      </c>
      <c r="I21" s="87"/>
      <c r="J21" s="86"/>
      <c r="M21" s="115"/>
      <c r="N21" s="115"/>
    </row>
    <row r="22" spans="1:14" s="89" customFormat="1" ht="24.9" customHeight="1" x14ac:dyDescent="0.3">
      <c r="A22" s="148"/>
      <c r="B22" s="100" t="s">
        <v>25</v>
      </c>
      <c r="C22" s="85" t="s">
        <v>56</v>
      </c>
      <c r="D22" s="85" t="s">
        <v>48</v>
      </c>
      <c r="E22" s="85" t="s">
        <v>14</v>
      </c>
      <c r="F22" s="90" t="s">
        <v>1487</v>
      </c>
      <c r="G22" s="85" t="s">
        <v>26</v>
      </c>
      <c r="H22" s="61">
        <f>CEILING(1320*USD,10)</f>
        <v>100650</v>
      </c>
      <c r="I22" s="87"/>
      <c r="J22" s="86"/>
      <c r="M22" s="115"/>
      <c r="N22" s="115"/>
    </row>
    <row r="23" spans="1:14" s="89" customFormat="1" ht="24.9" customHeight="1" x14ac:dyDescent="0.3">
      <c r="A23" s="138"/>
      <c r="B23" s="100" t="s">
        <v>28</v>
      </c>
      <c r="C23" s="91" t="s">
        <v>59</v>
      </c>
      <c r="D23" s="85" t="s">
        <v>49</v>
      </c>
      <c r="E23" s="85" t="s">
        <v>27</v>
      </c>
      <c r="F23" s="85" t="s">
        <v>13</v>
      </c>
      <c r="G23" s="85" t="s">
        <v>36</v>
      </c>
      <c r="H23" s="61">
        <f>CEILING(880*USD,10)</f>
        <v>67100</v>
      </c>
      <c r="I23" s="87"/>
      <c r="J23" s="86"/>
      <c r="M23" s="115"/>
      <c r="N23" s="115"/>
    </row>
    <row r="24" spans="1:14" s="89" customFormat="1" ht="24.9" customHeight="1" x14ac:dyDescent="0.3">
      <c r="A24" s="138"/>
      <c r="B24" s="100" t="s">
        <v>29</v>
      </c>
      <c r="C24" s="91" t="s">
        <v>60</v>
      </c>
      <c r="D24" s="85" t="s">
        <v>49</v>
      </c>
      <c r="E24" s="85" t="s">
        <v>27</v>
      </c>
      <c r="F24" s="85" t="s">
        <v>13</v>
      </c>
      <c r="G24" s="85" t="s">
        <v>36</v>
      </c>
      <c r="H24" s="61">
        <f>CEILING(910*USD,10)</f>
        <v>69390</v>
      </c>
      <c r="I24" s="87"/>
      <c r="J24" s="86"/>
      <c r="M24" s="115"/>
      <c r="N24" s="115"/>
    </row>
    <row r="25" spans="1:14" s="89" customFormat="1" ht="24.9" customHeight="1" x14ac:dyDescent="0.3">
      <c r="A25" s="138"/>
      <c r="B25" s="100" t="s">
        <v>30</v>
      </c>
      <c r="C25" s="91" t="s">
        <v>61</v>
      </c>
      <c r="D25" s="85" t="s">
        <v>49</v>
      </c>
      <c r="E25" s="85" t="s">
        <v>27</v>
      </c>
      <c r="F25" s="85" t="s">
        <v>13</v>
      </c>
      <c r="G25" s="85" t="s">
        <v>36</v>
      </c>
      <c r="H25" s="61">
        <f>CEILING(1100*USD,10)</f>
        <v>83880</v>
      </c>
      <c r="I25" s="87"/>
      <c r="J25" s="86"/>
      <c r="M25" s="115"/>
      <c r="N25" s="115"/>
    </row>
    <row r="26" spans="1:14" s="89" customFormat="1" ht="24.9" customHeight="1" x14ac:dyDescent="0.3">
      <c r="A26" s="138"/>
      <c r="B26" s="100" t="s">
        <v>31</v>
      </c>
      <c r="C26" s="91" t="s">
        <v>57</v>
      </c>
      <c r="D26" s="85" t="s">
        <v>49</v>
      </c>
      <c r="E26" s="85" t="s">
        <v>27</v>
      </c>
      <c r="F26" s="90" t="s">
        <v>1487</v>
      </c>
      <c r="G26" s="85" t="s">
        <v>36</v>
      </c>
      <c r="H26" s="61">
        <f>CEILING(980*USD,10)</f>
        <v>74730</v>
      </c>
      <c r="I26" s="87"/>
      <c r="J26" s="86"/>
      <c r="M26" s="115"/>
      <c r="N26" s="115"/>
    </row>
    <row r="27" spans="1:14" s="89" customFormat="1" ht="24.9" customHeight="1" x14ac:dyDescent="0.3">
      <c r="A27" s="138"/>
      <c r="B27" s="100" t="s">
        <v>32</v>
      </c>
      <c r="C27" s="91" t="s">
        <v>58</v>
      </c>
      <c r="D27" s="85" t="s">
        <v>49</v>
      </c>
      <c r="E27" s="85" t="s">
        <v>27</v>
      </c>
      <c r="F27" s="90" t="s">
        <v>1487</v>
      </c>
      <c r="G27" s="85" t="s">
        <v>36</v>
      </c>
      <c r="H27" s="61">
        <f>CEILING(990*USD,10)</f>
        <v>75490</v>
      </c>
      <c r="I27" s="87"/>
      <c r="J27" s="86"/>
      <c r="M27" s="115"/>
      <c r="N27" s="115"/>
    </row>
    <row r="28" spans="1:14" s="89" customFormat="1" ht="24.9" customHeight="1" x14ac:dyDescent="0.3">
      <c r="A28" s="138"/>
      <c r="B28" s="100" t="s">
        <v>33</v>
      </c>
      <c r="C28" s="91" t="s">
        <v>59</v>
      </c>
      <c r="D28" s="85" t="s">
        <v>49</v>
      </c>
      <c r="E28" s="85" t="s">
        <v>27</v>
      </c>
      <c r="F28" s="90" t="s">
        <v>1487</v>
      </c>
      <c r="G28" s="85" t="s">
        <v>36</v>
      </c>
      <c r="H28" s="61">
        <f>CEILING(1040*USD,10)</f>
        <v>79300</v>
      </c>
      <c r="I28" s="87"/>
      <c r="J28" s="86"/>
      <c r="M28" s="115"/>
      <c r="N28" s="115"/>
    </row>
    <row r="29" spans="1:14" s="89" customFormat="1" ht="24.9" customHeight="1" x14ac:dyDescent="0.3">
      <c r="A29" s="138"/>
      <c r="B29" s="100" t="s">
        <v>34</v>
      </c>
      <c r="C29" s="91" t="s">
        <v>60</v>
      </c>
      <c r="D29" s="85" t="s">
        <v>49</v>
      </c>
      <c r="E29" s="85" t="s">
        <v>27</v>
      </c>
      <c r="F29" s="90" t="s">
        <v>1487</v>
      </c>
      <c r="G29" s="85" t="s">
        <v>36</v>
      </c>
      <c r="H29" s="61">
        <f>CEILING(1090*USD,10)</f>
        <v>83120</v>
      </c>
      <c r="I29" s="87"/>
      <c r="J29" s="86"/>
      <c r="M29" s="115"/>
      <c r="N29" s="115"/>
    </row>
    <row r="30" spans="1:14" s="89" customFormat="1" ht="24.9" customHeight="1" x14ac:dyDescent="0.3">
      <c r="A30" s="138"/>
      <c r="B30" s="100" t="s">
        <v>35</v>
      </c>
      <c r="C30" s="91" t="s">
        <v>61</v>
      </c>
      <c r="D30" s="85" t="s">
        <v>49</v>
      </c>
      <c r="E30" s="85" t="s">
        <v>27</v>
      </c>
      <c r="F30" s="90" t="s">
        <v>1487</v>
      </c>
      <c r="G30" s="85" t="s">
        <v>36</v>
      </c>
      <c r="H30" s="61">
        <f>CEILING(1230*USD,10)</f>
        <v>93790</v>
      </c>
      <c r="I30" s="87"/>
      <c r="J30" s="86"/>
      <c r="L30" s="12" t="s">
        <v>1992</v>
      </c>
      <c r="M30" s="115">
        <v>6.5</v>
      </c>
      <c r="N30" s="115">
        <v>4.76</v>
      </c>
    </row>
    <row r="31" spans="1:14" s="89" customFormat="1" ht="24.9" customHeight="1" x14ac:dyDescent="0.3">
      <c r="A31" s="138"/>
      <c r="B31" s="100" t="s">
        <v>37</v>
      </c>
      <c r="C31" s="114" t="s">
        <v>62</v>
      </c>
      <c r="D31" s="15" t="s">
        <v>50</v>
      </c>
      <c r="E31" s="15" t="s">
        <v>27</v>
      </c>
      <c r="F31" s="15" t="s">
        <v>13</v>
      </c>
      <c r="G31" s="15" t="s">
        <v>1705</v>
      </c>
      <c r="H31" s="61">
        <f>CEILING(2120*USD,10)</f>
        <v>161650</v>
      </c>
      <c r="I31" s="87"/>
      <c r="J31" s="86"/>
      <c r="M31" s="115"/>
      <c r="N31" s="115"/>
    </row>
    <row r="32" spans="1:14" s="89" customFormat="1" ht="24.9" customHeight="1" x14ac:dyDescent="0.3">
      <c r="A32" s="138"/>
      <c r="B32" s="100" t="s">
        <v>38</v>
      </c>
      <c r="C32" s="114" t="s">
        <v>63</v>
      </c>
      <c r="D32" s="15" t="s">
        <v>50</v>
      </c>
      <c r="E32" s="15" t="s">
        <v>27</v>
      </c>
      <c r="F32" s="15" t="s">
        <v>13</v>
      </c>
      <c r="G32" s="15" t="s">
        <v>1705</v>
      </c>
      <c r="H32" s="61">
        <f>CEILING(2240*USD,10)</f>
        <v>170800</v>
      </c>
      <c r="I32" s="87"/>
      <c r="J32" s="86"/>
      <c r="M32" s="115"/>
      <c r="N32" s="115"/>
    </row>
    <row r="33" spans="1:14" s="89" customFormat="1" ht="24.9" customHeight="1" x14ac:dyDescent="0.3">
      <c r="A33" s="138"/>
      <c r="B33" s="100" t="s">
        <v>39</v>
      </c>
      <c r="C33" s="114" t="s">
        <v>64</v>
      </c>
      <c r="D33" s="15" t="s">
        <v>50</v>
      </c>
      <c r="E33" s="15" t="s">
        <v>27</v>
      </c>
      <c r="F33" s="15" t="s">
        <v>13</v>
      </c>
      <c r="G33" s="15" t="s">
        <v>1705</v>
      </c>
      <c r="H33" s="61">
        <f>CEILING(2400*USD,10)</f>
        <v>183000</v>
      </c>
      <c r="I33" s="87"/>
      <c r="J33" s="86"/>
      <c r="M33" s="115"/>
      <c r="N33" s="115"/>
    </row>
    <row r="34" spans="1:14" s="89" customFormat="1" ht="24.9" customHeight="1" x14ac:dyDescent="0.3">
      <c r="A34" s="138"/>
      <c r="B34" s="100" t="s">
        <v>40</v>
      </c>
      <c r="C34" s="114" t="s">
        <v>65</v>
      </c>
      <c r="D34" s="15" t="s">
        <v>50</v>
      </c>
      <c r="E34" s="15" t="s">
        <v>27</v>
      </c>
      <c r="F34" s="15" t="s">
        <v>13</v>
      </c>
      <c r="G34" s="15" t="s">
        <v>1705</v>
      </c>
      <c r="H34" s="61">
        <f>CEILING(2980*USD,10)</f>
        <v>227230</v>
      </c>
      <c r="I34" s="87"/>
      <c r="J34" s="86"/>
      <c r="M34" s="115"/>
      <c r="N34" s="115"/>
    </row>
    <row r="35" spans="1:14" s="89" customFormat="1" ht="24.9" customHeight="1" x14ac:dyDescent="0.3">
      <c r="A35" s="138"/>
      <c r="B35" s="100" t="s">
        <v>41</v>
      </c>
      <c r="C35" s="114" t="s">
        <v>66</v>
      </c>
      <c r="D35" s="15" t="s">
        <v>51</v>
      </c>
      <c r="E35" s="15" t="s">
        <v>27</v>
      </c>
      <c r="F35" s="15" t="s">
        <v>13</v>
      </c>
      <c r="G35" s="15" t="s">
        <v>1705</v>
      </c>
      <c r="H35" s="61">
        <f>CEILING(2180*USD,10)</f>
        <v>166230</v>
      </c>
      <c r="I35" s="87"/>
      <c r="J35" s="86"/>
      <c r="M35" s="115"/>
      <c r="N35" s="115"/>
    </row>
    <row r="36" spans="1:14" s="89" customFormat="1" ht="20.100000000000001" customHeight="1" x14ac:dyDescent="0.3">
      <c r="A36" s="143" t="s">
        <v>67</v>
      </c>
      <c r="B36" s="143"/>
      <c r="C36" s="143"/>
      <c r="D36" s="143"/>
      <c r="E36" s="143"/>
      <c r="F36" s="143"/>
      <c r="G36" s="143"/>
      <c r="H36" s="143"/>
      <c r="I36" s="143"/>
      <c r="J36" s="143"/>
      <c r="M36" s="115"/>
      <c r="N36" s="115"/>
    </row>
    <row r="37" spans="1:14" s="89" customFormat="1" ht="20.100000000000001" customHeight="1" x14ac:dyDescent="0.3">
      <c r="A37" s="144" t="s">
        <v>68</v>
      </c>
      <c r="B37" s="145"/>
      <c r="C37" s="145"/>
      <c r="D37" s="145"/>
      <c r="E37" s="145"/>
      <c r="F37" s="145"/>
      <c r="G37" s="146"/>
      <c r="H37" s="86">
        <f>CEILING(540*USD,10)</f>
        <v>41180</v>
      </c>
      <c r="I37" s="87"/>
      <c r="J37" s="86"/>
      <c r="M37" s="115"/>
      <c r="N37" s="115"/>
    </row>
    <row r="38" spans="1:14" s="89" customFormat="1" ht="20.100000000000001" customHeight="1" x14ac:dyDescent="0.3">
      <c r="A38" s="144" t="s">
        <v>1022</v>
      </c>
      <c r="B38" s="145"/>
      <c r="C38" s="145"/>
      <c r="D38" s="145"/>
      <c r="E38" s="145"/>
      <c r="F38" s="145"/>
      <c r="G38" s="146"/>
      <c r="H38" s="86">
        <f>CEILING(100*USD,10)</f>
        <v>7630</v>
      </c>
      <c r="I38" s="87"/>
      <c r="J38" s="86"/>
      <c r="M38" s="115"/>
      <c r="N38" s="115"/>
    </row>
    <row r="39" spans="1:14" s="89" customFormat="1" x14ac:dyDescent="0.3">
      <c r="M39" s="115"/>
      <c r="N39" s="115"/>
    </row>
  </sheetData>
  <mergeCells count="14">
    <mergeCell ref="A1:J1"/>
    <mergeCell ref="A14:J14"/>
    <mergeCell ref="A16:A22"/>
    <mergeCell ref="A23:A30"/>
    <mergeCell ref="A9:J9"/>
    <mergeCell ref="A10:G10"/>
    <mergeCell ref="A11:G11"/>
    <mergeCell ref="A12:G12"/>
    <mergeCell ref="A13:J13"/>
    <mergeCell ref="A36:J36"/>
    <mergeCell ref="A37:G37"/>
    <mergeCell ref="A38:G38"/>
    <mergeCell ref="A31:A35"/>
    <mergeCell ref="A3:A8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16" r:id="rId7"/>
    <hyperlink ref="B17" r:id="rId8"/>
    <hyperlink ref="B18" r:id="rId9"/>
    <hyperlink ref="B19" r:id="rId10"/>
    <hyperlink ref="B20" r:id="rId11"/>
    <hyperlink ref="B21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3" r:id="rId24"/>
    <hyperlink ref="B34" r:id="rId25"/>
    <hyperlink ref="B35" r:id="rId26"/>
  </hyperlinks>
  <pageMargins left="0.7" right="0.7" top="0.75" bottom="0.75" header="0.3" footer="0.3"/>
  <pageSetup paperSize="9" orientation="portrait" horizontalDpi="300" verticalDpi="300" r:id="rId27"/>
  <drawing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10312"/>
  <sheetViews>
    <sheetView topLeftCell="A217" zoomScale="85" zoomScaleNormal="85" workbookViewId="0">
      <selection activeCell="I220" sqref="I220:J224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.88671875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 customWidth="1"/>
    <col min="12" max="12" width="20" style="12" hidden="1" customWidth="1"/>
    <col min="13" max="13" width="0" style="12" hidden="1" customWidth="1"/>
    <col min="14" max="16384" width="9.109375" style="1"/>
  </cols>
  <sheetData>
    <row r="1" spans="1:13" ht="60" customHeight="1" x14ac:dyDescent="0.3">
      <c r="A1" s="150" t="s">
        <v>1558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3" ht="30" customHeight="1" x14ac:dyDescent="0.3">
      <c r="A2" s="34"/>
      <c r="B2" s="38" t="s">
        <v>2</v>
      </c>
      <c r="C2" s="4" t="s">
        <v>42</v>
      </c>
      <c r="D2" s="4" t="s">
        <v>43</v>
      </c>
      <c r="E2" s="35" t="s">
        <v>9</v>
      </c>
      <c r="F2" s="35" t="s">
        <v>10</v>
      </c>
      <c r="G2" s="4" t="s">
        <v>11</v>
      </c>
      <c r="H2" s="4" t="s">
        <v>17</v>
      </c>
      <c r="I2" s="4"/>
      <c r="J2" s="4"/>
    </row>
    <row r="3" spans="1:13" ht="30" customHeight="1" x14ac:dyDescent="0.3">
      <c r="A3" s="147"/>
      <c r="B3" s="100" t="s">
        <v>987</v>
      </c>
      <c r="C3" s="34" t="s">
        <v>991</v>
      </c>
      <c r="D3" s="34" t="s">
        <v>70</v>
      </c>
      <c r="E3" s="58" t="s">
        <v>14</v>
      </c>
      <c r="F3" s="34" t="s">
        <v>15</v>
      </c>
      <c r="G3" s="34" t="s">
        <v>71</v>
      </c>
      <c r="H3" s="7">
        <f>CEILING((PRODUCT(4118,USD)),10)</f>
        <v>314000</v>
      </c>
      <c r="I3" s="8"/>
      <c r="J3" s="9"/>
      <c r="L3" s="12" t="s">
        <v>1881</v>
      </c>
      <c r="M3" s="12" t="s">
        <v>102</v>
      </c>
    </row>
    <row r="4" spans="1:13" ht="30" customHeight="1" x14ac:dyDescent="0.3">
      <c r="A4" s="147"/>
      <c r="B4" s="100" t="s">
        <v>988</v>
      </c>
      <c r="C4" s="34" t="s">
        <v>45</v>
      </c>
      <c r="D4" s="34" t="s">
        <v>348</v>
      </c>
      <c r="E4" s="34" t="s">
        <v>14</v>
      </c>
      <c r="F4" s="34" t="s">
        <v>15</v>
      </c>
      <c r="G4" s="34" t="s">
        <v>71</v>
      </c>
      <c r="H4" s="7">
        <f>CEILING((PRODUCT(4442,USD)),10)</f>
        <v>338710</v>
      </c>
      <c r="I4" s="8"/>
      <c r="J4" s="9"/>
      <c r="L4" s="12" t="s">
        <v>1881</v>
      </c>
      <c r="M4" s="12" t="s">
        <v>102</v>
      </c>
    </row>
    <row r="5" spans="1:13" ht="30" customHeight="1" x14ac:dyDescent="0.3">
      <c r="A5" s="147"/>
      <c r="B5" s="100" t="s">
        <v>989</v>
      </c>
      <c r="C5" s="34" t="s">
        <v>1370</v>
      </c>
      <c r="D5" s="34" t="s">
        <v>70</v>
      </c>
      <c r="E5" s="34" t="s">
        <v>14</v>
      </c>
      <c r="F5" s="34" t="s">
        <v>15</v>
      </c>
      <c r="G5" s="34" t="s">
        <v>71</v>
      </c>
      <c r="H5" s="7">
        <f>CEILING((PRODUCT(4442,USD)),10)</f>
        <v>338710</v>
      </c>
      <c r="I5" s="8"/>
      <c r="J5" s="9"/>
      <c r="L5" s="12" t="s">
        <v>1881</v>
      </c>
      <c r="M5" s="12" t="s">
        <v>102</v>
      </c>
    </row>
    <row r="6" spans="1:13" ht="30" customHeight="1" x14ac:dyDescent="0.3">
      <c r="A6" s="147"/>
      <c r="B6" s="100" t="s">
        <v>990</v>
      </c>
      <c r="C6" s="34" t="s">
        <v>1370</v>
      </c>
      <c r="D6" s="34" t="s">
        <v>70</v>
      </c>
      <c r="E6" s="58" t="s">
        <v>14</v>
      </c>
      <c r="F6" s="34" t="s">
        <v>15</v>
      </c>
      <c r="G6" s="34" t="s">
        <v>71</v>
      </c>
      <c r="H6" s="7">
        <f>CEILING((PRODUCT(7998,USD)),10)</f>
        <v>609850</v>
      </c>
      <c r="I6" s="8"/>
      <c r="J6" s="9"/>
      <c r="L6" s="12" t="s">
        <v>1881</v>
      </c>
      <c r="M6" s="12" t="s">
        <v>1882</v>
      </c>
    </row>
    <row r="7" spans="1:13" ht="30" customHeight="1" x14ac:dyDescent="0.3">
      <c r="A7" s="147"/>
      <c r="B7" s="100" t="s">
        <v>1371</v>
      </c>
      <c r="C7" s="34" t="s">
        <v>46</v>
      </c>
      <c r="D7" s="34" t="s">
        <v>348</v>
      </c>
      <c r="E7" s="58" t="s">
        <v>14</v>
      </c>
      <c r="F7" s="34" t="s">
        <v>15</v>
      </c>
      <c r="G7" s="34" t="s">
        <v>71</v>
      </c>
      <c r="H7" s="7">
        <f>CEILING((PRODUCT(7780,USD)),10)</f>
        <v>593230</v>
      </c>
      <c r="I7" s="8"/>
      <c r="J7" s="9"/>
      <c r="L7" s="12" t="s">
        <v>1881</v>
      </c>
      <c r="M7" s="12" t="s">
        <v>1882</v>
      </c>
    </row>
    <row r="8" spans="1:13" ht="20.100000000000001" customHeight="1" x14ac:dyDescent="0.3">
      <c r="A8" s="149"/>
      <c r="B8" s="149"/>
      <c r="C8" s="149"/>
      <c r="D8" s="149"/>
      <c r="E8" s="149"/>
      <c r="F8" s="149"/>
      <c r="G8" s="149"/>
      <c r="H8" s="149"/>
      <c r="I8" s="149"/>
      <c r="J8" s="149"/>
    </row>
    <row r="9" spans="1:13" ht="60" customHeight="1" x14ac:dyDescent="0.3">
      <c r="A9" s="150" t="s">
        <v>1706</v>
      </c>
      <c r="B9" s="151"/>
      <c r="C9" s="151"/>
      <c r="D9" s="151"/>
      <c r="E9" s="151"/>
      <c r="F9" s="151"/>
      <c r="G9" s="151"/>
      <c r="H9" s="151"/>
      <c r="I9" s="151"/>
      <c r="J9" s="151"/>
    </row>
    <row r="10" spans="1:13" ht="30" customHeight="1" x14ac:dyDescent="0.3">
      <c r="A10" s="83"/>
      <c r="B10" s="38" t="s">
        <v>2</v>
      </c>
      <c r="C10" s="4" t="s">
        <v>42</v>
      </c>
      <c r="D10" s="4" t="s">
        <v>43</v>
      </c>
      <c r="E10" s="38" t="s">
        <v>9</v>
      </c>
      <c r="F10" s="38" t="s">
        <v>10</v>
      </c>
      <c r="G10" s="4" t="s">
        <v>11</v>
      </c>
      <c r="H10" s="4" t="s">
        <v>17</v>
      </c>
      <c r="I10" s="4"/>
      <c r="J10" s="4"/>
    </row>
    <row r="11" spans="1:13" ht="21" customHeight="1" x14ac:dyDescent="0.3">
      <c r="A11" s="152"/>
      <c r="B11" s="72" t="s">
        <v>572</v>
      </c>
      <c r="C11" s="83" t="s">
        <v>45</v>
      </c>
      <c r="D11" s="83" t="s">
        <v>47</v>
      </c>
      <c r="E11" s="83" t="s">
        <v>14</v>
      </c>
      <c r="F11" s="83" t="s">
        <v>15</v>
      </c>
      <c r="G11" s="83" t="s">
        <v>16</v>
      </c>
      <c r="H11" s="7">
        <f>CEILING((PRODUCT(3349,USD)),10)</f>
        <v>255370</v>
      </c>
      <c r="I11" s="8"/>
      <c r="J11" s="9"/>
    </row>
    <row r="12" spans="1:13" ht="21" customHeight="1" x14ac:dyDescent="0.3">
      <c r="A12" s="153"/>
      <c r="B12" s="72" t="s">
        <v>573</v>
      </c>
      <c r="C12" s="83" t="s">
        <v>45</v>
      </c>
      <c r="D12" s="83" t="s">
        <v>47</v>
      </c>
      <c r="E12" s="83" t="s">
        <v>14</v>
      </c>
      <c r="F12" s="83" t="s">
        <v>15</v>
      </c>
      <c r="G12" s="83" t="s">
        <v>16</v>
      </c>
      <c r="H12" s="7">
        <f>CEILING((PRODUCT(3365,USD)),10)</f>
        <v>256590</v>
      </c>
      <c r="I12" s="8"/>
      <c r="J12" s="9"/>
    </row>
    <row r="13" spans="1:13" ht="21" customHeight="1" x14ac:dyDescent="0.3">
      <c r="A13" s="153"/>
      <c r="B13" s="72" t="s">
        <v>574</v>
      </c>
      <c r="C13" s="83" t="s">
        <v>46</v>
      </c>
      <c r="D13" s="83" t="s">
        <v>47</v>
      </c>
      <c r="E13" s="83" t="s">
        <v>14</v>
      </c>
      <c r="F13" s="83" t="s">
        <v>15</v>
      </c>
      <c r="G13" s="83" t="s">
        <v>16</v>
      </c>
      <c r="H13" s="7">
        <f>CEILING((PRODUCT(3707,USD)),10)</f>
        <v>282660</v>
      </c>
      <c r="I13" s="8"/>
      <c r="J13" s="9"/>
    </row>
    <row r="14" spans="1:13" ht="21" customHeight="1" x14ac:dyDescent="0.3">
      <c r="A14" s="153"/>
      <c r="B14" s="72" t="s">
        <v>575</v>
      </c>
      <c r="C14" s="83" t="s">
        <v>46</v>
      </c>
      <c r="D14" s="83" t="s">
        <v>47</v>
      </c>
      <c r="E14" s="83" t="s">
        <v>14</v>
      </c>
      <c r="F14" s="83" t="s">
        <v>15</v>
      </c>
      <c r="G14" s="83" t="s">
        <v>16</v>
      </c>
      <c r="H14" s="7">
        <f>CEILING((PRODUCT(3734,USD)),10)</f>
        <v>284720</v>
      </c>
      <c r="I14" s="8"/>
      <c r="J14" s="9"/>
    </row>
    <row r="15" spans="1:13" ht="21" customHeight="1" x14ac:dyDescent="0.3">
      <c r="A15" s="153"/>
      <c r="B15" s="72" t="s">
        <v>576</v>
      </c>
      <c r="C15" s="83" t="s">
        <v>52</v>
      </c>
      <c r="D15" s="83" t="s">
        <v>47</v>
      </c>
      <c r="E15" s="83" t="s">
        <v>14</v>
      </c>
      <c r="F15" s="83" t="s">
        <v>15</v>
      </c>
      <c r="G15" s="83" t="s">
        <v>16</v>
      </c>
      <c r="H15" s="7">
        <f>CEILING((PRODUCT(4064,USD)),10)</f>
        <v>309880</v>
      </c>
      <c r="I15" s="8"/>
      <c r="J15" s="9"/>
    </row>
    <row r="16" spans="1:13" ht="21" customHeight="1" x14ac:dyDescent="0.3">
      <c r="A16" s="154"/>
      <c r="B16" s="72" t="s">
        <v>577</v>
      </c>
      <c r="C16" s="83" t="s">
        <v>52</v>
      </c>
      <c r="D16" s="83" t="s">
        <v>47</v>
      </c>
      <c r="E16" s="83" t="s">
        <v>14</v>
      </c>
      <c r="F16" s="83" t="s">
        <v>15</v>
      </c>
      <c r="G16" s="83" t="s">
        <v>16</v>
      </c>
      <c r="H16" s="7">
        <f>CEILING((PRODUCT(4093,USD)),10)</f>
        <v>312100</v>
      </c>
      <c r="I16" s="8"/>
      <c r="J16" s="9"/>
    </row>
    <row r="17" spans="1:10" ht="20.100000000000001" customHeight="1" x14ac:dyDescent="0.3">
      <c r="A17" s="149"/>
      <c r="B17" s="149"/>
      <c r="C17" s="149"/>
      <c r="D17" s="149"/>
      <c r="E17" s="149"/>
      <c r="F17" s="149"/>
      <c r="G17" s="149"/>
      <c r="H17" s="149"/>
      <c r="I17" s="149"/>
      <c r="J17" s="149"/>
    </row>
    <row r="18" spans="1:10" ht="39.9" customHeight="1" x14ac:dyDescent="0.3">
      <c r="A18" s="150" t="s">
        <v>1557</v>
      </c>
      <c r="B18" s="151"/>
      <c r="C18" s="151"/>
      <c r="D18" s="151"/>
      <c r="E18" s="151"/>
      <c r="F18" s="151"/>
      <c r="G18" s="151"/>
      <c r="H18" s="151"/>
      <c r="I18" s="151"/>
      <c r="J18" s="151"/>
    </row>
    <row r="19" spans="1:10" ht="30" customHeight="1" x14ac:dyDescent="0.3">
      <c r="A19" s="83"/>
      <c r="B19" s="38" t="s">
        <v>2</v>
      </c>
      <c r="C19" s="4" t="s">
        <v>42</v>
      </c>
      <c r="D19" s="4" t="s">
        <v>43</v>
      </c>
      <c r="E19" s="38" t="s">
        <v>9</v>
      </c>
      <c r="F19" s="38" t="s">
        <v>10</v>
      </c>
      <c r="G19" s="4" t="s">
        <v>11</v>
      </c>
      <c r="H19" s="4" t="s">
        <v>17</v>
      </c>
      <c r="I19" s="4"/>
      <c r="J19" s="4"/>
    </row>
    <row r="20" spans="1:10" ht="24.9" customHeight="1" x14ac:dyDescent="0.3">
      <c r="A20" s="147"/>
      <c r="B20" s="72" t="s">
        <v>578</v>
      </c>
      <c r="C20" s="83" t="s">
        <v>46</v>
      </c>
      <c r="D20" s="83" t="s">
        <v>48</v>
      </c>
      <c r="E20" s="83" t="s">
        <v>27</v>
      </c>
      <c r="F20" s="83" t="s">
        <v>15</v>
      </c>
      <c r="G20" s="15" t="s">
        <v>380</v>
      </c>
      <c r="H20" s="7">
        <f>CEILING((PRODUCT(3063,USD)),10)</f>
        <v>233560</v>
      </c>
      <c r="I20" s="8"/>
      <c r="J20" s="9"/>
    </row>
    <row r="21" spans="1:10" ht="24.9" customHeight="1" x14ac:dyDescent="0.3">
      <c r="A21" s="147"/>
      <c r="B21" s="72" t="s">
        <v>579</v>
      </c>
      <c r="C21" s="83" t="s">
        <v>53</v>
      </c>
      <c r="D21" s="83" t="s">
        <v>48</v>
      </c>
      <c r="E21" s="83" t="s">
        <v>27</v>
      </c>
      <c r="F21" s="83" t="s">
        <v>15</v>
      </c>
      <c r="G21" s="15" t="s">
        <v>380</v>
      </c>
      <c r="H21" s="7">
        <f>CEILING((PRODUCT(3206,USD)),10)</f>
        <v>244460</v>
      </c>
      <c r="I21" s="8"/>
      <c r="J21" s="9"/>
    </row>
    <row r="22" spans="1:10" ht="24.9" customHeight="1" x14ac:dyDescent="0.3">
      <c r="A22" s="147"/>
      <c r="B22" s="72" t="s">
        <v>580</v>
      </c>
      <c r="C22" s="83" t="s">
        <v>96</v>
      </c>
      <c r="D22" s="83" t="s">
        <v>48</v>
      </c>
      <c r="E22" s="83" t="s">
        <v>27</v>
      </c>
      <c r="F22" s="83" t="s">
        <v>15</v>
      </c>
      <c r="G22" s="15" t="s">
        <v>380</v>
      </c>
      <c r="H22" s="7">
        <f>CEILING((PRODUCT(3564,USD)),10)</f>
        <v>271760</v>
      </c>
      <c r="I22" s="8"/>
      <c r="J22" s="9"/>
    </row>
    <row r="23" spans="1:10" ht="24.9" customHeight="1" x14ac:dyDescent="0.3">
      <c r="A23" s="147"/>
      <c r="B23" s="72" t="s">
        <v>581</v>
      </c>
      <c r="C23" s="83" t="s">
        <v>181</v>
      </c>
      <c r="D23" s="83" t="s">
        <v>48</v>
      </c>
      <c r="E23" s="83" t="s">
        <v>14</v>
      </c>
      <c r="F23" s="83" t="s">
        <v>15</v>
      </c>
      <c r="G23" s="15" t="s">
        <v>380</v>
      </c>
      <c r="H23" s="7">
        <f>CEILING((PRODUCT(4499,USD)),10)</f>
        <v>343050</v>
      </c>
      <c r="I23" s="8"/>
      <c r="J23" s="9"/>
    </row>
    <row r="24" spans="1:10" ht="24.9" customHeight="1" x14ac:dyDescent="0.3">
      <c r="A24" s="147"/>
      <c r="B24" s="72" t="s">
        <v>582</v>
      </c>
      <c r="C24" s="83" t="s">
        <v>58</v>
      </c>
      <c r="D24" s="83" t="s">
        <v>49</v>
      </c>
      <c r="E24" s="83" t="s">
        <v>27</v>
      </c>
      <c r="F24" s="83" t="s">
        <v>15</v>
      </c>
      <c r="G24" s="15" t="s">
        <v>589</v>
      </c>
      <c r="H24" s="7">
        <f>CEILING((PRODUCT(3200,USD)),10)</f>
        <v>244000</v>
      </c>
      <c r="I24" s="8"/>
      <c r="J24" s="9"/>
    </row>
    <row r="25" spans="1:10" ht="24.9" customHeight="1" x14ac:dyDescent="0.3">
      <c r="A25" s="147"/>
      <c r="B25" s="72" t="s">
        <v>583</v>
      </c>
      <c r="C25" s="83" t="s">
        <v>99</v>
      </c>
      <c r="D25" s="83" t="s">
        <v>49</v>
      </c>
      <c r="E25" s="83" t="s">
        <v>27</v>
      </c>
      <c r="F25" s="83" t="s">
        <v>15</v>
      </c>
      <c r="G25" s="15" t="s">
        <v>589</v>
      </c>
      <c r="H25" s="7">
        <f>CEILING((PRODUCT(3564,USD)),10)</f>
        <v>271760</v>
      </c>
      <c r="I25" s="8"/>
      <c r="J25" s="9"/>
    </row>
    <row r="26" spans="1:10" ht="24.9" customHeight="1" x14ac:dyDescent="0.3">
      <c r="A26" s="147"/>
      <c r="B26" s="72" t="s">
        <v>584</v>
      </c>
      <c r="C26" s="83" t="s">
        <v>100</v>
      </c>
      <c r="D26" s="83" t="s">
        <v>49</v>
      </c>
      <c r="E26" s="83" t="s">
        <v>27</v>
      </c>
      <c r="F26" s="83" t="s">
        <v>15</v>
      </c>
      <c r="G26" s="15" t="s">
        <v>589</v>
      </c>
      <c r="H26" s="7">
        <f>CEILING((PRODUCT(3881,USD)),10)</f>
        <v>295930</v>
      </c>
      <c r="I26" s="8"/>
      <c r="J26" s="9"/>
    </row>
    <row r="27" spans="1:10" ht="24.9" customHeight="1" x14ac:dyDescent="0.3">
      <c r="A27" s="147"/>
      <c r="B27" s="72" t="s">
        <v>585</v>
      </c>
      <c r="C27" s="83" t="s">
        <v>100</v>
      </c>
      <c r="D27" s="83" t="s">
        <v>50</v>
      </c>
      <c r="E27" s="83" t="s">
        <v>27</v>
      </c>
      <c r="F27" s="83" t="s">
        <v>15</v>
      </c>
      <c r="G27" s="15" t="s">
        <v>589</v>
      </c>
      <c r="H27" s="7">
        <f>CEILING((PRODUCT(3099,USD)),10)</f>
        <v>236300</v>
      </c>
      <c r="I27" s="8"/>
      <c r="J27" s="9"/>
    </row>
    <row r="28" spans="1:10" ht="24.9" customHeight="1" x14ac:dyDescent="0.3">
      <c r="A28" s="147"/>
      <c r="B28" s="72" t="s">
        <v>586</v>
      </c>
      <c r="C28" s="83" t="s">
        <v>588</v>
      </c>
      <c r="D28" s="83" t="s">
        <v>49</v>
      </c>
      <c r="E28" s="83" t="s">
        <v>14</v>
      </c>
      <c r="F28" s="83" t="s">
        <v>15</v>
      </c>
      <c r="G28" s="15" t="s">
        <v>589</v>
      </c>
      <c r="H28" s="7">
        <f>CEILING((PRODUCT(3909,USD)),10)</f>
        <v>298070</v>
      </c>
      <c r="I28" s="8"/>
      <c r="J28" s="9"/>
    </row>
    <row r="29" spans="1:10" ht="24.9" customHeight="1" x14ac:dyDescent="0.3">
      <c r="A29" s="147"/>
      <c r="B29" s="72" t="s">
        <v>587</v>
      </c>
      <c r="C29" s="83" t="s">
        <v>588</v>
      </c>
      <c r="D29" s="83" t="s">
        <v>50</v>
      </c>
      <c r="E29" s="83" t="s">
        <v>14</v>
      </c>
      <c r="F29" s="83" t="s">
        <v>15</v>
      </c>
      <c r="G29" s="15" t="s">
        <v>589</v>
      </c>
      <c r="H29" s="7">
        <f>CEILING((PRODUCT(3600,USD)),10)</f>
        <v>274500</v>
      </c>
      <c r="I29" s="8"/>
      <c r="J29" s="9"/>
    </row>
    <row r="30" spans="1:10" ht="24.9" customHeight="1" x14ac:dyDescent="0.3">
      <c r="A30" s="147"/>
      <c r="B30" s="72" t="s">
        <v>1227</v>
      </c>
      <c r="C30" s="83" t="s">
        <v>102</v>
      </c>
      <c r="D30" s="83" t="s">
        <v>50</v>
      </c>
      <c r="E30" s="83" t="s">
        <v>27</v>
      </c>
      <c r="F30" s="83" t="s">
        <v>15</v>
      </c>
      <c r="G30" s="15" t="s">
        <v>1230</v>
      </c>
      <c r="H30" s="7">
        <f>CEILING((PRODUCT(4931,USD)),10)</f>
        <v>375990</v>
      </c>
      <c r="I30" s="8"/>
      <c r="J30" s="9"/>
    </row>
    <row r="31" spans="1:10" ht="24.9" customHeight="1" x14ac:dyDescent="0.3">
      <c r="A31" s="147"/>
      <c r="B31" s="72" t="s">
        <v>1228</v>
      </c>
      <c r="C31" s="83" t="s">
        <v>261</v>
      </c>
      <c r="D31" s="83" t="s">
        <v>50</v>
      </c>
      <c r="E31" s="83" t="s">
        <v>27</v>
      </c>
      <c r="F31" s="83" t="s">
        <v>15</v>
      </c>
      <c r="G31" s="15" t="s">
        <v>1230</v>
      </c>
      <c r="H31" s="7">
        <f>CEILING((PRODUCT(5093,USD)),10)</f>
        <v>388350</v>
      </c>
      <c r="I31" s="8"/>
      <c r="J31" s="9"/>
    </row>
    <row r="32" spans="1:10" ht="24.9" customHeight="1" x14ac:dyDescent="0.3">
      <c r="A32" s="147"/>
      <c r="B32" s="72" t="s">
        <v>1229</v>
      </c>
      <c r="C32" s="83" t="s">
        <v>651</v>
      </c>
      <c r="D32" s="83" t="s">
        <v>50</v>
      </c>
      <c r="E32" s="83" t="s">
        <v>27</v>
      </c>
      <c r="F32" s="83" t="s">
        <v>15</v>
      </c>
      <c r="G32" s="15" t="s">
        <v>1230</v>
      </c>
      <c r="H32" s="7">
        <f>CEILING((PRODUCT(5255,USD)),10)</f>
        <v>400700</v>
      </c>
      <c r="I32" s="8"/>
      <c r="J32" s="9"/>
    </row>
    <row r="33" spans="1:13" ht="24.9" customHeight="1" x14ac:dyDescent="0.3">
      <c r="A33" s="147"/>
      <c r="B33" s="72" t="s">
        <v>1512</v>
      </c>
      <c r="C33" s="83" t="s">
        <v>1513</v>
      </c>
      <c r="D33" s="83" t="s">
        <v>50</v>
      </c>
      <c r="E33" s="83" t="s">
        <v>27</v>
      </c>
      <c r="F33" s="83" t="s">
        <v>15</v>
      </c>
      <c r="G33" s="15" t="s">
        <v>1230</v>
      </c>
      <c r="H33" s="7">
        <f>CEILING((PRODUCT(5255,USD)),10)</f>
        <v>400700</v>
      </c>
      <c r="I33" s="8"/>
      <c r="J33" s="9"/>
    </row>
    <row r="34" spans="1:13" ht="20.100000000000001" customHeight="1" x14ac:dyDescent="0.3">
      <c r="A34" s="149"/>
      <c r="B34" s="149"/>
      <c r="C34" s="149"/>
      <c r="D34" s="149"/>
      <c r="E34" s="149"/>
      <c r="F34" s="149"/>
      <c r="G34" s="149"/>
      <c r="H34" s="149"/>
      <c r="I34" s="149"/>
      <c r="J34" s="149"/>
    </row>
    <row r="35" spans="1:13" ht="39.9" customHeight="1" x14ac:dyDescent="0.3">
      <c r="A35" s="139" t="s">
        <v>1824</v>
      </c>
      <c r="B35" s="140"/>
      <c r="C35" s="140"/>
      <c r="D35" s="140"/>
      <c r="E35" s="140"/>
      <c r="F35" s="140"/>
      <c r="G35" s="140"/>
      <c r="H35" s="140"/>
      <c r="I35" s="140"/>
      <c r="J35" s="140"/>
    </row>
    <row r="36" spans="1:13" ht="30" customHeight="1" x14ac:dyDescent="0.3">
      <c r="A36" s="121"/>
      <c r="B36" s="38" t="s">
        <v>2</v>
      </c>
      <c r="C36" s="4" t="s">
        <v>42</v>
      </c>
      <c r="D36" s="4" t="s">
        <v>43</v>
      </c>
      <c r="E36" s="38" t="s">
        <v>9</v>
      </c>
      <c r="F36" s="38" t="s">
        <v>10</v>
      </c>
      <c r="G36" s="4" t="s">
        <v>11</v>
      </c>
      <c r="H36" s="4" t="s">
        <v>17</v>
      </c>
      <c r="I36" s="4"/>
      <c r="J36" s="4"/>
    </row>
    <row r="37" spans="1:13" ht="30" customHeight="1" x14ac:dyDescent="0.3">
      <c r="A37" s="147"/>
      <c r="B37" s="100" t="s">
        <v>1825</v>
      </c>
      <c r="C37" s="10" t="s">
        <v>45</v>
      </c>
      <c r="D37" s="121" t="s">
        <v>47</v>
      </c>
      <c r="E37" s="121" t="s">
        <v>14</v>
      </c>
      <c r="F37" s="10" t="s">
        <v>13</v>
      </c>
      <c r="G37" s="10" t="s">
        <v>16</v>
      </c>
      <c r="H37" s="7">
        <f>CEILING((PRODUCT(1221,USD)),10)</f>
        <v>93110</v>
      </c>
      <c r="I37" s="8"/>
      <c r="J37" s="25"/>
      <c r="L37" s="12" t="s">
        <v>1846</v>
      </c>
      <c r="M37" s="12" t="s">
        <v>1725</v>
      </c>
    </row>
    <row r="38" spans="1:13" ht="30" customHeight="1" x14ac:dyDescent="0.3">
      <c r="A38" s="147"/>
      <c r="B38" s="100" t="s">
        <v>1826</v>
      </c>
      <c r="C38" s="10" t="s">
        <v>45</v>
      </c>
      <c r="D38" s="121" t="s">
        <v>47</v>
      </c>
      <c r="E38" s="121" t="s">
        <v>14</v>
      </c>
      <c r="F38" s="10" t="s">
        <v>15</v>
      </c>
      <c r="G38" s="10" t="s">
        <v>16</v>
      </c>
      <c r="H38" s="7">
        <f>CEILING((PRODUCT(1383,USD)),10)</f>
        <v>105460</v>
      </c>
      <c r="I38" s="8"/>
      <c r="J38" s="25"/>
      <c r="L38" s="12" t="s">
        <v>1846</v>
      </c>
      <c r="M38" s="12" t="s">
        <v>1725</v>
      </c>
    </row>
    <row r="39" spans="1:13" ht="30" customHeight="1" x14ac:dyDescent="0.3">
      <c r="A39" s="147"/>
      <c r="B39" s="100" t="s">
        <v>1827</v>
      </c>
      <c r="C39" s="10" t="s">
        <v>46</v>
      </c>
      <c r="D39" s="121" t="s">
        <v>47</v>
      </c>
      <c r="E39" s="121" t="s">
        <v>14</v>
      </c>
      <c r="F39" s="10" t="s">
        <v>13</v>
      </c>
      <c r="G39" s="10" t="s">
        <v>16</v>
      </c>
      <c r="H39" s="7">
        <f>CEILING((PRODUCT(1221,USD)),10)</f>
        <v>93110</v>
      </c>
      <c r="I39" s="8"/>
      <c r="J39" s="25"/>
      <c r="L39" s="12" t="s">
        <v>1846</v>
      </c>
      <c r="M39" s="12" t="s">
        <v>1725</v>
      </c>
    </row>
    <row r="40" spans="1:13" ht="30" customHeight="1" x14ac:dyDescent="0.3">
      <c r="A40" s="147"/>
      <c r="B40" s="100" t="s">
        <v>1828</v>
      </c>
      <c r="C40" s="10" t="s">
        <v>46</v>
      </c>
      <c r="D40" s="121" t="s">
        <v>47</v>
      </c>
      <c r="E40" s="121" t="s">
        <v>14</v>
      </c>
      <c r="F40" s="10" t="s">
        <v>15</v>
      </c>
      <c r="G40" s="10" t="s">
        <v>16</v>
      </c>
      <c r="H40" s="7">
        <f>CEILING((PRODUCT(1383,USD)),10)</f>
        <v>105460</v>
      </c>
      <c r="I40" s="8"/>
      <c r="J40" s="25"/>
      <c r="L40" s="12" t="s">
        <v>1846</v>
      </c>
      <c r="M40" s="12" t="s">
        <v>1725</v>
      </c>
    </row>
    <row r="41" spans="1:13" ht="20.100000000000001" customHeight="1" x14ac:dyDescent="0.3">
      <c r="A41" s="149"/>
      <c r="B41" s="149"/>
      <c r="C41" s="149"/>
      <c r="D41" s="149"/>
      <c r="E41" s="149"/>
      <c r="F41" s="149"/>
      <c r="G41" s="149"/>
      <c r="H41" s="149"/>
      <c r="I41" s="149"/>
      <c r="J41" s="149"/>
    </row>
    <row r="42" spans="1:13" ht="39.9" customHeight="1" x14ac:dyDescent="0.3">
      <c r="A42" s="139" t="s">
        <v>1829</v>
      </c>
      <c r="B42" s="140"/>
      <c r="C42" s="140"/>
      <c r="D42" s="140"/>
      <c r="E42" s="140"/>
      <c r="F42" s="140"/>
      <c r="G42" s="140"/>
      <c r="H42" s="140"/>
      <c r="I42" s="140"/>
      <c r="J42" s="140"/>
    </row>
    <row r="43" spans="1:13" ht="30" customHeight="1" x14ac:dyDescent="0.3">
      <c r="A43" s="121"/>
      <c r="B43" s="38" t="s">
        <v>2</v>
      </c>
      <c r="C43" s="4" t="s">
        <v>42</v>
      </c>
      <c r="D43" s="4" t="s">
        <v>43</v>
      </c>
      <c r="E43" s="38" t="s">
        <v>9</v>
      </c>
      <c r="F43" s="38" t="s">
        <v>10</v>
      </c>
      <c r="G43" s="4" t="s">
        <v>11</v>
      </c>
      <c r="H43" s="4" t="s">
        <v>17</v>
      </c>
      <c r="I43" s="4"/>
      <c r="J43" s="4"/>
    </row>
    <row r="44" spans="1:13" ht="24.9" customHeight="1" x14ac:dyDescent="0.3">
      <c r="A44" s="147"/>
      <c r="B44" s="100" t="s">
        <v>1830</v>
      </c>
      <c r="C44" s="10" t="s">
        <v>46</v>
      </c>
      <c r="D44" s="121" t="s">
        <v>48</v>
      </c>
      <c r="E44" s="121" t="s">
        <v>27</v>
      </c>
      <c r="F44" s="10" t="s">
        <v>13</v>
      </c>
      <c r="G44" s="10" t="s">
        <v>194</v>
      </c>
      <c r="H44" s="7">
        <f>CEILING((PRODUCT(879,USD)),10)</f>
        <v>67030</v>
      </c>
      <c r="I44" s="8"/>
      <c r="J44" s="25"/>
      <c r="L44" s="12" t="s">
        <v>1846</v>
      </c>
      <c r="M44" s="12" t="s">
        <v>1725</v>
      </c>
    </row>
    <row r="45" spans="1:13" ht="24.9" customHeight="1" x14ac:dyDescent="0.3">
      <c r="A45" s="147"/>
      <c r="B45" s="100" t="s">
        <v>1831</v>
      </c>
      <c r="C45" s="10" t="s">
        <v>46</v>
      </c>
      <c r="D45" s="121" t="s">
        <v>48</v>
      </c>
      <c r="E45" s="121" t="s">
        <v>27</v>
      </c>
      <c r="F45" s="10" t="s">
        <v>15</v>
      </c>
      <c r="G45" s="10" t="s">
        <v>194</v>
      </c>
      <c r="H45" s="7">
        <f>CEILING((PRODUCT(957,USD)),10)</f>
        <v>72980</v>
      </c>
      <c r="I45" s="8"/>
      <c r="J45" s="25"/>
      <c r="L45" s="12" t="s">
        <v>1846</v>
      </c>
      <c r="M45" s="12" t="s">
        <v>1725</v>
      </c>
    </row>
    <row r="46" spans="1:13" ht="24.9" customHeight="1" x14ac:dyDescent="0.3">
      <c r="A46" s="147"/>
      <c r="B46" s="100" t="s">
        <v>1832</v>
      </c>
      <c r="C46" s="10" t="s">
        <v>53</v>
      </c>
      <c r="D46" s="121" t="s">
        <v>48</v>
      </c>
      <c r="E46" s="121" t="s">
        <v>27</v>
      </c>
      <c r="F46" s="10" t="s">
        <v>13</v>
      </c>
      <c r="G46" s="10" t="s">
        <v>194</v>
      </c>
      <c r="H46" s="7">
        <f>CEILING((PRODUCT(879,USD)),10)</f>
        <v>67030</v>
      </c>
      <c r="I46" s="8"/>
      <c r="J46" s="25"/>
      <c r="L46" s="12" t="s">
        <v>1846</v>
      </c>
      <c r="M46" s="12" t="s">
        <v>1725</v>
      </c>
    </row>
    <row r="47" spans="1:13" ht="24.9" customHeight="1" x14ac:dyDescent="0.3">
      <c r="A47" s="147"/>
      <c r="B47" s="100" t="s">
        <v>1833</v>
      </c>
      <c r="C47" s="10" t="s">
        <v>53</v>
      </c>
      <c r="D47" s="121" t="s">
        <v>48</v>
      </c>
      <c r="E47" s="121" t="s">
        <v>27</v>
      </c>
      <c r="F47" s="10" t="s">
        <v>15</v>
      </c>
      <c r="G47" s="10" t="s">
        <v>194</v>
      </c>
      <c r="H47" s="7">
        <f>CEILING((PRODUCT(957,USD)),10)</f>
        <v>72980</v>
      </c>
      <c r="I47" s="8"/>
      <c r="J47" s="25"/>
      <c r="L47" s="12" t="s">
        <v>1846</v>
      </c>
      <c r="M47" s="12" t="s">
        <v>1725</v>
      </c>
    </row>
    <row r="48" spans="1:13" ht="24.9" customHeight="1" x14ac:dyDescent="0.3">
      <c r="A48" s="147"/>
      <c r="B48" s="100" t="s">
        <v>1834</v>
      </c>
      <c r="C48" s="10" t="s">
        <v>356</v>
      </c>
      <c r="D48" s="121" t="s">
        <v>48</v>
      </c>
      <c r="E48" s="121" t="s">
        <v>27</v>
      </c>
      <c r="F48" s="10" t="s">
        <v>13</v>
      </c>
      <c r="G48" s="10" t="s">
        <v>194</v>
      </c>
      <c r="H48" s="7">
        <f>CEILING((PRODUCT(972,USD)),10)</f>
        <v>74120</v>
      </c>
      <c r="I48" s="8"/>
      <c r="J48" s="25"/>
      <c r="L48" s="12" t="s">
        <v>1846</v>
      </c>
      <c r="M48" s="12" t="s">
        <v>1725</v>
      </c>
    </row>
    <row r="49" spans="1:13" ht="24.9" customHeight="1" x14ac:dyDescent="0.3">
      <c r="A49" s="147"/>
      <c r="B49" s="100" t="s">
        <v>1835</v>
      </c>
      <c r="C49" s="10" t="s">
        <v>356</v>
      </c>
      <c r="D49" s="121" t="s">
        <v>48</v>
      </c>
      <c r="E49" s="121" t="s">
        <v>27</v>
      </c>
      <c r="F49" s="10" t="s">
        <v>15</v>
      </c>
      <c r="G49" s="10" t="s">
        <v>194</v>
      </c>
      <c r="H49" s="7">
        <f>CEILING((PRODUCT(1065,USD)),10)</f>
        <v>81210</v>
      </c>
      <c r="I49" s="8"/>
      <c r="J49" s="25"/>
      <c r="L49" s="12" t="s">
        <v>1846</v>
      </c>
      <c r="M49" s="12" t="s">
        <v>1725</v>
      </c>
    </row>
    <row r="50" spans="1:13" ht="24.9" customHeight="1" x14ac:dyDescent="0.3">
      <c r="A50" s="147"/>
      <c r="B50" s="100" t="s">
        <v>1844</v>
      </c>
      <c r="C50" s="10" t="s">
        <v>994</v>
      </c>
      <c r="D50" s="121" t="s">
        <v>49</v>
      </c>
      <c r="E50" s="121" t="s">
        <v>27</v>
      </c>
      <c r="F50" s="10" t="s">
        <v>13</v>
      </c>
      <c r="G50" s="10" t="s">
        <v>204</v>
      </c>
      <c r="H50" s="7">
        <f>CEILING((PRODUCT(645,USD)),10)</f>
        <v>49190</v>
      </c>
      <c r="I50" s="8"/>
      <c r="J50" s="25"/>
      <c r="L50" s="12" t="s">
        <v>1847</v>
      </c>
      <c r="M50" s="12" t="s">
        <v>1725</v>
      </c>
    </row>
    <row r="51" spans="1:13" ht="24.9" customHeight="1" x14ac:dyDescent="0.3">
      <c r="A51" s="147"/>
      <c r="B51" s="100" t="s">
        <v>1836</v>
      </c>
      <c r="C51" s="10" t="s">
        <v>994</v>
      </c>
      <c r="D51" s="121" t="s">
        <v>49</v>
      </c>
      <c r="E51" s="121" t="s">
        <v>27</v>
      </c>
      <c r="F51" s="10" t="s">
        <v>15</v>
      </c>
      <c r="G51" s="10" t="s">
        <v>204</v>
      </c>
      <c r="H51" s="7">
        <f>CEILING((PRODUCT(863,USD)),10)</f>
        <v>65810</v>
      </c>
      <c r="I51" s="8"/>
      <c r="J51" s="25"/>
      <c r="L51" s="12" t="s">
        <v>1847</v>
      </c>
      <c r="M51" s="12" t="s">
        <v>220</v>
      </c>
    </row>
    <row r="52" spans="1:13" ht="24.9" customHeight="1" x14ac:dyDescent="0.3">
      <c r="A52" s="147"/>
      <c r="B52" s="100" t="s">
        <v>1837</v>
      </c>
      <c r="C52" s="10" t="s">
        <v>58</v>
      </c>
      <c r="D52" s="121" t="s">
        <v>49</v>
      </c>
      <c r="E52" s="121" t="s">
        <v>27</v>
      </c>
      <c r="F52" s="10" t="s">
        <v>13</v>
      </c>
      <c r="G52" s="10" t="s">
        <v>204</v>
      </c>
      <c r="H52" s="7">
        <f>CEILING((PRODUCT(645,USD)),10)</f>
        <v>49190</v>
      </c>
      <c r="I52" s="8"/>
      <c r="J52" s="25"/>
      <c r="L52" s="12" t="s">
        <v>1847</v>
      </c>
      <c r="M52" s="12" t="s">
        <v>220</v>
      </c>
    </row>
    <row r="53" spans="1:13" ht="24.9" customHeight="1" x14ac:dyDescent="0.3">
      <c r="A53" s="147"/>
      <c r="B53" s="100" t="s">
        <v>1838</v>
      </c>
      <c r="C53" s="10" t="s">
        <v>58</v>
      </c>
      <c r="D53" s="121" t="s">
        <v>49</v>
      </c>
      <c r="E53" s="121" t="s">
        <v>27</v>
      </c>
      <c r="F53" s="10" t="s">
        <v>15</v>
      </c>
      <c r="G53" s="10" t="s">
        <v>204</v>
      </c>
      <c r="H53" s="7">
        <f>CEILING((PRODUCT(863,USD)),10)</f>
        <v>65810</v>
      </c>
      <c r="I53" s="8"/>
      <c r="J53" s="25"/>
      <c r="L53" s="12" t="s">
        <v>1847</v>
      </c>
      <c r="M53" s="12" t="s">
        <v>220</v>
      </c>
    </row>
    <row r="54" spans="1:13" ht="24.9" customHeight="1" x14ac:dyDescent="0.3">
      <c r="A54" s="147"/>
      <c r="B54" s="100" t="s">
        <v>1843</v>
      </c>
      <c r="C54" s="10" t="s">
        <v>99</v>
      </c>
      <c r="D54" s="121" t="s">
        <v>49</v>
      </c>
      <c r="E54" s="121" t="s">
        <v>27</v>
      </c>
      <c r="F54" s="10" t="s">
        <v>13</v>
      </c>
      <c r="G54" s="10" t="s">
        <v>204</v>
      </c>
      <c r="H54" s="7">
        <f>CEILING((PRODUCT(739,USD)),10)</f>
        <v>56350</v>
      </c>
      <c r="I54" s="8"/>
      <c r="J54" s="25"/>
      <c r="L54" s="12" t="s">
        <v>1847</v>
      </c>
      <c r="M54" s="12" t="s">
        <v>220</v>
      </c>
    </row>
    <row r="55" spans="1:13" ht="24.9" customHeight="1" x14ac:dyDescent="0.3">
      <c r="A55" s="147"/>
      <c r="B55" s="100" t="s">
        <v>1839</v>
      </c>
      <c r="C55" s="10" t="s">
        <v>99</v>
      </c>
      <c r="D55" s="121" t="s">
        <v>49</v>
      </c>
      <c r="E55" s="121" t="s">
        <v>27</v>
      </c>
      <c r="F55" s="10" t="s">
        <v>15</v>
      </c>
      <c r="G55" s="10" t="s">
        <v>204</v>
      </c>
      <c r="H55" s="7">
        <f>CEILING((PRODUCT(894,USD)),10)</f>
        <v>68170</v>
      </c>
      <c r="I55" s="8"/>
      <c r="J55" s="25"/>
      <c r="L55" s="12" t="s">
        <v>1847</v>
      </c>
      <c r="M55" s="12" t="s">
        <v>220</v>
      </c>
    </row>
    <row r="56" spans="1:13" ht="24.9" customHeight="1" x14ac:dyDescent="0.3">
      <c r="A56" s="147"/>
      <c r="B56" s="100" t="s">
        <v>1842</v>
      </c>
      <c r="C56" s="10" t="s">
        <v>99</v>
      </c>
      <c r="D56" s="121" t="s">
        <v>50</v>
      </c>
      <c r="E56" s="121" t="s">
        <v>27</v>
      </c>
      <c r="F56" s="10" t="s">
        <v>13</v>
      </c>
      <c r="G56" s="10" t="s">
        <v>204</v>
      </c>
      <c r="H56" s="7">
        <f>CEILING((PRODUCT(582,USD)),10)</f>
        <v>44380</v>
      </c>
      <c r="I56" s="8"/>
      <c r="J56" s="25"/>
      <c r="L56" s="12" t="s">
        <v>1847</v>
      </c>
      <c r="M56" s="12" t="s">
        <v>220</v>
      </c>
    </row>
    <row r="57" spans="1:13" ht="24.9" customHeight="1" x14ac:dyDescent="0.3">
      <c r="A57" s="147"/>
      <c r="B57" s="100" t="s">
        <v>1840</v>
      </c>
      <c r="C57" s="10" t="s">
        <v>99</v>
      </c>
      <c r="D57" s="121" t="s">
        <v>50</v>
      </c>
      <c r="E57" s="121" t="s">
        <v>27</v>
      </c>
      <c r="F57" s="10" t="s">
        <v>15</v>
      </c>
      <c r="G57" s="10" t="s">
        <v>204</v>
      </c>
      <c r="H57" s="7">
        <f>CEILING((PRODUCT(763,USD)),10)</f>
        <v>58180</v>
      </c>
      <c r="I57" s="8"/>
      <c r="J57" s="25"/>
      <c r="L57" s="12" t="s">
        <v>1847</v>
      </c>
      <c r="M57" s="12" t="s">
        <v>220</v>
      </c>
    </row>
    <row r="58" spans="1:13" ht="24.9" customHeight="1" x14ac:dyDescent="0.3">
      <c r="A58" s="147"/>
      <c r="B58" s="100" t="s">
        <v>1841</v>
      </c>
      <c r="C58" s="10" t="s">
        <v>100</v>
      </c>
      <c r="D58" s="121" t="s">
        <v>50</v>
      </c>
      <c r="E58" s="121" t="s">
        <v>27</v>
      </c>
      <c r="F58" s="10" t="s">
        <v>13</v>
      </c>
      <c r="G58" s="10" t="s">
        <v>204</v>
      </c>
      <c r="H58" s="7">
        <f>CEILING((PRODUCT(582,USD)),10)</f>
        <v>44380</v>
      </c>
      <c r="I58" s="8"/>
      <c r="J58" s="25"/>
      <c r="L58" s="12" t="s">
        <v>1847</v>
      </c>
      <c r="M58" s="12" t="s">
        <v>220</v>
      </c>
    </row>
    <row r="59" spans="1:13" ht="24.9" customHeight="1" x14ac:dyDescent="0.3">
      <c r="A59" s="147"/>
      <c r="B59" s="100" t="s">
        <v>1845</v>
      </c>
      <c r="C59" s="10" t="s">
        <v>100</v>
      </c>
      <c r="D59" s="121" t="s">
        <v>50</v>
      </c>
      <c r="E59" s="121" t="s">
        <v>27</v>
      </c>
      <c r="F59" s="10" t="s">
        <v>15</v>
      </c>
      <c r="G59" s="10" t="s">
        <v>204</v>
      </c>
      <c r="H59" s="7">
        <f>CEILING((PRODUCT(763,USD)),10)</f>
        <v>58180</v>
      </c>
      <c r="I59" s="8"/>
      <c r="J59" s="25"/>
      <c r="L59" s="12" t="s">
        <v>1847</v>
      </c>
      <c r="M59" s="12" t="s">
        <v>220</v>
      </c>
    </row>
    <row r="60" spans="1:13" ht="20.100000000000001" customHeight="1" x14ac:dyDescent="0.3">
      <c r="A60" s="149"/>
      <c r="B60" s="149"/>
      <c r="C60" s="149"/>
      <c r="D60" s="149"/>
      <c r="E60" s="149"/>
      <c r="F60" s="149"/>
      <c r="G60" s="149"/>
      <c r="H60" s="149"/>
      <c r="I60" s="149"/>
      <c r="J60" s="149"/>
    </row>
    <row r="61" spans="1:13" ht="39.9" customHeight="1" x14ac:dyDescent="0.3">
      <c r="A61" s="150" t="s">
        <v>1644</v>
      </c>
      <c r="B61" s="151"/>
      <c r="C61" s="151"/>
      <c r="D61" s="151"/>
      <c r="E61" s="151"/>
      <c r="F61" s="151"/>
      <c r="G61" s="151"/>
      <c r="H61" s="151"/>
      <c r="I61" s="151"/>
      <c r="J61" s="151"/>
    </row>
    <row r="62" spans="1:13" ht="30" customHeight="1" x14ac:dyDescent="0.3">
      <c r="A62" s="83"/>
      <c r="B62" s="38" t="s">
        <v>2</v>
      </c>
      <c r="C62" s="4" t="s">
        <v>42</v>
      </c>
      <c r="D62" s="4" t="s">
        <v>43</v>
      </c>
      <c r="E62" s="38" t="s">
        <v>9</v>
      </c>
      <c r="F62" s="38" t="s">
        <v>10</v>
      </c>
      <c r="G62" s="4" t="s">
        <v>11</v>
      </c>
      <c r="H62" s="4" t="s">
        <v>17</v>
      </c>
      <c r="I62" s="4"/>
      <c r="J62" s="4"/>
    </row>
    <row r="63" spans="1:13" ht="39.9" customHeight="1" x14ac:dyDescent="0.3">
      <c r="A63" s="152"/>
      <c r="B63" s="72" t="s">
        <v>1504</v>
      </c>
      <c r="C63" s="83" t="s">
        <v>1485</v>
      </c>
      <c r="D63" s="83" t="s">
        <v>348</v>
      </c>
      <c r="E63" s="83" t="s">
        <v>14</v>
      </c>
      <c r="F63" s="83" t="s">
        <v>15</v>
      </c>
      <c r="G63" s="83" t="s">
        <v>71</v>
      </c>
      <c r="H63" s="7">
        <f>CEILING((PRODUCT(3738,USD)),10)</f>
        <v>285030</v>
      </c>
      <c r="I63" s="8"/>
      <c r="J63" s="9"/>
    </row>
    <row r="64" spans="1:13" ht="39.9" customHeight="1" x14ac:dyDescent="0.3">
      <c r="A64" s="153"/>
      <c r="B64" s="72" t="s">
        <v>1505</v>
      </c>
      <c r="C64" s="83" t="s">
        <v>991</v>
      </c>
      <c r="D64" s="83" t="s">
        <v>70</v>
      </c>
      <c r="E64" s="83" t="s">
        <v>14</v>
      </c>
      <c r="F64" s="83" t="s">
        <v>15</v>
      </c>
      <c r="G64" s="83" t="s">
        <v>71</v>
      </c>
      <c r="H64" s="7">
        <f>CEILING((PRODUCT(3225,USD)),10)</f>
        <v>245910</v>
      </c>
      <c r="I64" s="8"/>
      <c r="J64" s="9"/>
    </row>
    <row r="65" spans="1:12" ht="39.9" customHeight="1" x14ac:dyDescent="0.3">
      <c r="A65" s="153"/>
      <c r="B65" s="72" t="s">
        <v>1506</v>
      </c>
      <c r="C65" s="83" t="s">
        <v>607</v>
      </c>
      <c r="D65" s="83" t="s">
        <v>70</v>
      </c>
      <c r="E65" s="83" t="s">
        <v>14</v>
      </c>
      <c r="F65" s="83" t="s">
        <v>15</v>
      </c>
      <c r="G65" s="83" t="s">
        <v>71</v>
      </c>
      <c r="H65" s="7">
        <f>CEILING((PRODUCT(3338,USD)),10)</f>
        <v>254530</v>
      </c>
      <c r="I65" s="8"/>
      <c r="J65" s="9"/>
    </row>
    <row r="66" spans="1:12" ht="20.100000000000001" customHeight="1" x14ac:dyDescent="0.3">
      <c r="A66" s="149"/>
      <c r="B66" s="149"/>
      <c r="C66" s="149"/>
      <c r="D66" s="149"/>
      <c r="E66" s="149"/>
      <c r="F66" s="149"/>
      <c r="G66" s="149"/>
      <c r="H66" s="149"/>
      <c r="I66" s="149"/>
      <c r="J66" s="149"/>
    </row>
    <row r="67" spans="1:12" ht="39.9" customHeight="1" x14ac:dyDescent="0.3">
      <c r="A67" s="150" t="s">
        <v>1645</v>
      </c>
      <c r="B67" s="151"/>
      <c r="C67" s="151"/>
      <c r="D67" s="151"/>
      <c r="E67" s="151"/>
      <c r="F67" s="151"/>
      <c r="G67" s="151"/>
      <c r="H67" s="151"/>
      <c r="I67" s="151"/>
      <c r="J67" s="151"/>
    </row>
    <row r="68" spans="1:12" ht="30" customHeight="1" x14ac:dyDescent="0.3">
      <c r="A68" s="83"/>
      <c r="B68" s="38" t="s">
        <v>2</v>
      </c>
      <c r="C68" s="4" t="s">
        <v>42</v>
      </c>
      <c r="D68" s="4" t="s">
        <v>43</v>
      </c>
      <c r="E68" s="38" t="s">
        <v>9</v>
      </c>
      <c r="F68" s="38" t="s">
        <v>10</v>
      </c>
      <c r="G68" s="4" t="s">
        <v>11</v>
      </c>
      <c r="H68" s="4" t="s">
        <v>17</v>
      </c>
      <c r="I68" s="4"/>
      <c r="J68" s="4"/>
    </row>
    <row r="69" spans="1:12" ht="21" customHeight="1" x14ac:dyDescent="0.3">
      <c r="A69" s="152"/>
      <c r="B69" s="72" t="s">
        <v>1507</v>
      </c>
      <c r="C69" s="83" t="s">
        <v>1485</v>
      </c>
      <c r="D69" s="83" t="s">
        <v>47</v>
      </c>
      <c r="E69" s="83" t="s">
        <v>14</v>
      </c>
      <c r="F69" s="83" t="s">
        <v>13</v>
      </c>
      <c r="G69" s="83" t="s">
        <v>16</v>
      </c>
      <c r="H69" s="7">
        <f>CEILING((PRODUCT(1424,USD)),10)</f>
        <v>108580</v>
      </c>
      <c r="I69" s="8"/>
      <c r="J69" s="9"/>
      <c r="L69" s="12" t="s">
        <v>1821</v>
      </c>
    </row>
    <row r="70" spans="1:12" ht="21" customHeight="1" x14ac:dyDescent="0.3">
      <c r="A70" s="153"/>
      <c r="B70" s="72" t="s">
        <v>1503</v>
      </c>
      <c r="C70" s="83" t="s">
        <v>1485</v>
      </c>
      <c r="D70" s="83" t="s">
        <v>47</v>
      </c>
      <c r="E70" s="83" t="s">
        <v>14</v>
      </c>
      <c r="F70" s="83" t="s">
        <v>15</v>
      </c>
      <c r="G70" s="83" t="s">
        <v>16</v>
      </c>
      <c r="H70" s="7">
        <f>CEILING((PRODUCT(1698,USD)),10)</f>
        <v>129480</v>
      </c>
      <c r="I70" s="8"/>
      <c r="J70" s="9"/>
      <c r="L70" s="12" t="s">
        <v>1821</v>
      </c>
    </row>
    <row r="71" spans="1:12" ht="21" customHeight="1" x14ac:dyDescent="0.3">
      <c r="A71" s="153"/>
      <c r="B71" s="72" t="s">
        <v>1508</v>
      </c>
      <c r="C71" s="83" t="s">
        <v>45</v>
      </c>
      <c r="D71" s="83" t="s">
        <v>47</v>
      </c>
      <c r="E71" s="83" t="s">
        <v>14</v>
      </c>
      <c r="F71" s="83" t="s">
        <v>13</v>
      </c>
      <c r="G71" s="83" t="s">
        <v>16</v>
      </c>
      <c r="H71" s="7">
        <f>CEILING((PRODUCT(1454,USD)),10)</f>
        <v>110870</v>
      </c>
      <c r="I71" s="8"/>
      <c r="J71" s="9"/>
      <c r="L71" s="12" t="s">
        <v>1821</v>
      </c>
    </row>
    <row r="72" spans="1:12" ht="21" customHeight="1" x14ac:dyDescent="0.3">
      <c r="A72" s="153"/>
      <c r="B72" s="72" t="s">
        <v>1509</v>
      </c>
      <c r="C72" s="83" t="s">
        <v>45</v>
      </c>
      <c r="D72" s="83" t="s">
        <v>47</v>
      </c>
      <c r="E72" s="83" t="s">
        <v>14</v>
      </c>
      <c r="F72" s="83" t="s">
        <v>15</v>
      </c>
      <c r="G72" s="83" t="s">
        <v>16</v>
      </c>
      <c r="H72" s="7">
        <f>CEILING((PRODUCT(1698,USD)),10)</f>
        <v>129480</v>
      </c>
      <c r="I72" s="8"/>
      <c r="J72" s="9"/>
      <c r="L72" s="12" t="s">
        <v>1821</v>
      </c>
    </row>
    <row r="73" spans="1:12" ht="21" customHeight="1" x14ac:dyDescent="0.3">
      <c r="A73" s="153"/>
      <c r="B73" s="72" t="s">
        <v>1510</v>
      </c>
      <c r="C73" s="83" t="s">
        <v>46</v>
      </c>
      <c r="D73" s="83" t="s">
        <v>47</v>
      </c>
      <c r="E73" s="83" t="s">
        <v>14</v>
      </c>
      <c r="F73" s="83" t="s">
        <v>13</v>
      </c>
      <c r="G73" s="83" t="s">
        <v>16</v>
      </c>
      <c r="H73" s="7">
        <f>CEILING((PRODUCT(1523,USD)),10)</f>
        <v>116130</v>
      </c>
      <c r="I73" s="8"/>
      <c r="J73" s="9"/>
      <c r="L73" s="12" t="s">
        <v>1821</v>
      </c>
    </row>
    <row r="74" spans="1:12" ht="21" customHeight="1" x14ac:dyDescent="0.3">
      <c r="A74" s="154"/>
      <c r="B74" s="72" t="s">
        <v>1511</v>
      </c>
      <c r="C74" s="83" t="s">
        <v>46</v>
      </c>
      <c r="D74" s="83" t="s">
        <v>47</v>
      </c>
      <c r="E74" s="83" t="s">
        <v>14</v>
      </c>
      <c r="F74" s="83" t="s">
        <v>15</v>
      </c>
      <c r="G74" s="83" t="s">
        <v>16</v>
      </c>
      <c r="H74" s="7">
        <f>CEILING((PRODUCT(1719,USD)),10)</f>
        <v>131080</v>
      </c>
      <c r="I74" s="8"/>
      <c r="J74" s="9"/>
      <c r="L74" s="12" t="s">
        <v>1821</v>
      </c>
    </row>
    <row r="75" spans="1:12" ht="20.100000000000001" customHeight="1" x14ac:dyDescent="0.3">
      <c r="A75" s="149"/>
      <c r="B75" s="149"/>
      <c r="C75" s="149"/>
      <c r="D75" s="149"/>
      <c r="E75" s="149"/>
      <c r="F75" s="149"/>
      <c r="G75" s="149"/>
      <c r="H75" s="149"/>
      <c r="I75" s="149"/>
      <c r="J75" s="149"/>
    </row>
    <row r="76" spans="1:12" ht="39.9" customHeight="1" x14ac:dyDescent="0.3">
      <c r="A76" s="150" t="s">
        <v>1646</v>
      </c>
      <c r="B76" s="151"/>
      <c r="C76" s="151"/>
      <c r="D76" s="151"/>
      <c r="E76" s="151"/>
      <c r="F76" s="151"/>
      <c r="G76" s="151"/>
      <c r="H76" s="151"/>
      <c r="I76" s="151"/>
      <c r="J76" s="151"/>
    </row>
    <row r="77" spans="1:12" ht="30" customHeight="1" x14ac:dyDescent="0.3">
      <c r="A77" s="83"/>
      <c r="B77" s="38" t="s">
        <v>2</v>
      </c>
      <c r="C77" s="4" t="s">
        <v>42</v>
      </c>
      <c r="D77" s="4" t="s">
        <v>43</v>
      </c>
      <c r="E77" s="38" t="s">
        <v>9</v>
      </c>
      <c r="F77" s="38" t="s">
        <v>10</v>
      </c>
      <c r="G77" s="4" t="s">
        <v>11</v>
      </c>
      <c r="H77" s="4" t="s">
        <v>17</v>
      </c>
      <c r="I77" s="4"/>
      <c r="J77" s="4"/>
    </row>
    <row r="78" spans="1:12" ht="20.100000000000001" customHeight="1" x14ac:dyDescent="0.3">
      <c r="A78" s="147"/>
      <c r="B78" s="72" t="s">
        <v>1514</v>
      </c>
      <c r="C78" s="83" t="s">
        <v>1542</v>
      </c>
      <c r="D78" s="83" t="s">
        <v>48</v>
      </c>
      <c r="E78" s="83" t="s">
        <v>27</v>
      </c>
      <c r="F78" s="83" t="s">
        <v>13</v>
      </c>
      <c r="G78" s="83" t="s">
        <v>194</v>
      </c>
      <c r="H78" s="7">
        <f>CEILING((PRODUCT(1001,USD)),10)</f>
        <v>76330</v>
      </c>
      <c r="I78" s="8"/>
      <c r="J78" s="9"/>
      <c r="L78" s="12" t="s">
        <v>1821</v>
      </c>
    </row>
    <row r="79" spans="1:12" ht="20.100000000000001" customHeight="1" x14ac:dyDescent="0.3">
      <c r="A79" s="147"/>
      <c r="B79" s="72" t="s">
        <v>1515</v>
      </c>
      <c r="C79" s="83" t="s">
        <v>1542</v>
      </c>
      <c r="D79" s="83" t="s">
        <v>48</v>
      </c>
      <c r="E79" s="83" t="s">
        <v>27</v>
      </c>
      <c r="F79" s="83" t="s">
        <v>15</v>
      </c>
      <c r="G79" s="83" t="s">
        <v>194</v>
      </c>
      <c r="H79" s="7">
        <f>CEILING((PRODUCT(1104,USD)),10)</f>
        <v>84180</v>
      </c>
      <c r="I79" s="8"/>
      <c r="J79" s="9"/>
      <c r="L79" s="12" t="s">
        <v>1821</v>
      </c>
    </row>
    <row r="80" spans="1:12" ht="20.100000000000001" customHeight="1" x14ac:dyDescent="0.3">
      <c r="A80" s="147"/>
      <c r="B80" s="72" t="s">
        <v>1516</v>
      </c>
      <c r="C80" s="83" t="s">
        <v>46</v>
      </c>
      <c r="D80" s="83" t="s">
        <v>48</v>
      </c>
      <c r="E80" s="83" t="s">
        <v>27</v>
      </c>
      <c r="F80" s="83" t="s">
        <v>13</v>
      </c>
      <c r="G80" s="83" t="s">
        <v>194</v>
      </c>
      <c r="H80" s="7">
        <f>CEILING((PRODUCT(1005,USD)),10)</f>
        <v>76640</v>
      </c>
      <c r="I80" s="8"/>
      <c r="J80" s="9"/>
      <c r="L80" s="12" t="s">
        <v>1821</v>
      </c>
    </row>
    <row r="81" spans="1:12" ht="20.100000000000001" customHeight="1" x14ac:dyDescent="0.3">
      <c r="A81" s="147"/>
      <c r="B81" s="72" t="s">
        <v>1517</v>
      </c>
      <c r="C81" s="83" t="s">
        <v>46</v>
      </c>
      <c r="D81" s="83" t="s">
        <v>48</v>
      </c>
      <c r="E81" s="83" t="s">
        <v>27</v>
      </c>
      <c r="F81" s="83" t="s">
        <v>15</v>
      </c>
      <c r="G81" s="83" t="s">
        <v>194</v>
      </c>
      <c r="H81" s="7">
        <f>CEILING((PRODUCT(1104,USD)),10)</f>
        <v>84180</v>
      </c>
      <c r="I81" s="8"/>
      <c r="J81" s="9"/>
      <c r="L81" s="12" t="s">
        <v>1821</v>
      </c>
    </row>
    <row r="82" spans="1:12" ht="20.100000000000001" customHeight="1" x14ac:dyDescent="0.3">
      <c r="A82" s="147"/>
      <c r="B82" s="72" t="s">
        <v>1518</v>
      </c>
      <c r="C82" s="83" t="s">
        <v>52</v>
      </c>
      <c r="D82" s="83" t="s">
        <v>48</v>
      </c>
      <c r="E82" s="83" t="s">
        <v>27</v>
      </c>
      <c r="F82" s="83" t="s">
        <v>13</v>
      </c>
      <c r="G82" s="83" t="s">
        <v>194</v>
      </c>
      <c r="H82" s="7">
        <f>CEILING((PRODUCT(1069,USD)),10)</f>
        <v>81520</v>
      </c>
      <c r="I82" s="8"/>
      <c r="J82" s="9"/>
      <c r="L82" s="12" t="s">
        <v>1821</v>
      </c>
    </row>
    <row r="83" spans="1:12" ht="20.100000000000001" customHeight="1" x14ac:dyDescent="0.3">
      <c r="A83" s="147"/>
      <c r="B83" s="72" t="s">
        <v>1519</v>
      </c>
      <c r="C83" s="83" t="s">
        <v>52</v>
      </c>
      <c r="D83" s="83" t="s">
        <v>48</v>
      </c>
      <c r="E83" s="83" t="s">
        <v>27</v>
      </c>
      <c r="F83" s="83" t="s">
        <v>15</v>
      </c>
      <c r="G83" s="83" t="s">
        <v>194</v>
      </c>
      <c r="H83" s="7">
        <f>CEILING((PRODUCT(1172,USD)),10)</f>
        <v>89370</v>
      </c>
      <c r="I83" s="8"/>
      <c r="J83" s="9"/>
      <c r="L83" s="12" t="s">
        <v>1821</v>
      </c>
    </row>
    <row r="84" spans="1:12" ht="20.100000000000001" customHeight="1" x14ac:dyDescent="0.3">
      <c r="A84" s="147"/>
      <c r="B84" s="72" t="s">
        <v>1520</v>
      </c>
      <c r="C84" s="83" t="s">
        <v>53</v>
      </c>
      <c r="D84" s="83" t="s">
        <v>48</v>
      </c>
      <c r="E84" s="83" t="s">
        <v>27</v>
      </c>
      <c r="F84" s="83" t="s">
        <v>13</v>
      </c>
      <c r="G84" s="83" t="s">
        <v>194</v>
      </c>
      <c r="H84" s="7">
        <f>CEILING((PRODUCT(1111,USD)),10)</f>
        <v>84720</v>
      </c>
      <c r="I84" s="8"/>
      <c r="J84" s="9"/>
      <c r="L84" s="12" t="s">
        <v>1821</v>
      </c>
    </row>
    <row r="85" spans="1:12" ht="20.100000000000001" customHeight="1" x14ac:dyDescent="0.3">
      <c r="A85" s="147"/>
      <c r="B85" s="72" t="s">
        <v>1521</v>
      </c>
      <c r="C85" s="83" t="s">
        <v>53</v>
      </c>
      <c r="D85" s="83" t="s">
        <v>48</v>
      </c>
      <c r="E85" s="83" t="s">
        <v>27</v>
      </c>
      <c r="F85" s="83" t="s">
        <v>15</v>
      </c>
      <c r="G85" s="83" t="s">
        <v>194</v>
      </c>
      <c r="H85" s="7">
        <f>CEILING((PRODUCT(1195,USD)),10)</f>
        <v>91120</v>
      </c>
      <c r="I85" s="8"/>
      <c r="J85" s="9"/>
      <c r="L85" s="12" t="s">
        <v>1821</v>
      </c>
    </row>
    <row r="86" spans="1:12" ht="20.100000000000001" customHeight="1" x14ac:dyDescent="0.3">
      <c r="A86" s="147"/>
      <c r="B86" s="72" t="s">
        <v>1522</v>
      </c>
      <c r="C86" s="83" t="s">
        <v>356</v>
      </c>
      <c r="D86" s="83" t="s">
        <v>48</v>
      </c>
      <c r="E86" s="83" t="s">
        <v>27</v>
      </c>
      <c r="F86" s="83" t="s">
        <v>13</v>
      </c>
      <c r="G86" s="83" t="s">
        <v>194</v>
      </c>
      <c r="H86" s="7">
        <f>CEILING((PRODUCT(1164,USD)),10)</f>
        <v>88760</v>
      </c>
      <c r="I86" s="8"/>
      <c r="J86" s="9"/>
      <c r="L86" s="12" t="s">
        <v>1821</v>
      </c>
    </row>
    <row r="87" spans="1:12" ht="20.100000000000001" customHeight="1" x14ac:dyDescent="0.3">
      <c r="A87" s="147"/>
      <c r="B87" s="72" t="s">
        <v>1523</v>
      </c>
      <c r="C87" s="83" t="s">
        <v>356</v>
      </c>
      <c r="D87" s="83" t="s">
        <v>48</v>
      </c>
      <c r="E87" s="83" t="s">
        <v>27</v>
      </c>
      <c r="F87" s="83" t="s">
        <v>15</v>
      </c>
      <c r="G87" s="83" t="s">
        <v>194</v>
      </c>
      <c r="H87" s="7">
        <f>CEILING((PRODUCT(1130,USD)),10)</f>
        <v>86170</v>
      </c>
      <c r="I87" s="8"/>
      <c r="J87" s="9"/>
      <c r="L87" s="12" t="s">
        <v>1821</v>
      </c>
    </row>
    <row r="88" spans="1:12" ht="20.100000000000001" customHeight="1" x14ac:dyDescent="0.3">
      <c r="A88" s="147"/>
      <c r="B88" s="72" t="s">
        <v>1524</v>
      </c>
      <c r="C88" s="83" t="s">
        <v>97</v>
      </c>
      <c r="D88" s="83" t="s">
        <v>49</v>
      </c>
      <c r="E88" s="83" t="s">
        <v>27</v>
      </c>
      <c r="F88" s="83" t="s">
        <v>13</v>
      </c>
      <c r="G88" s="83" t="s">
        <v>204</v>
      </c>
      <c r="H88" s="7">
        <f>CEILING((PRODUCT(793,USD)),10)</f>
        <v>60470</v>
      </c>
      <c r="I88" s="8"/>
      <c r="J88" s="9"/>
    </row>
    <row r="89" spans="1:12" ht="20.100000000000001" customHeight="1" x14ac:dyDescent="0.3">
      <c r="A89" s="147"/>
      <c r="B89" s="72" t="s">
        <v>1525</v>
      </c>
      <c r="C89" s="83" t="s">
        <v>97</v>
      </c>
      <c r="D89" s="83" t="s">
        <v>49</v>
      </c>
      <c r="E89" s="83" t="s">
        <v>27</v>
      </c>
      <c r="F89" s="83" t="s">
        <v>15</v>
      </c>
      <c r="G89" s="83" t="s">
        <v>204</v>
      </c>
      <c r="H89" s="7">
        <f>CEILING((PRODUCT(1018,USD)),10)</f>
        <v>77630</v>
      </c>
      <c r="I89" s="8"/>
      <c r="J89" s="9"/>
    </row>
    <row r="90" spans="1:12" ht="20.100000000000001" customHeight="1" x14ac:dyDescent="0.3">
      <c r="A90" s="147"/>
      <c r="B90" s="72" t="s">
        <v>1526</v>
      </c>
      <c r="C90" s="83" t="s">
        <v>994</v>
      </c>
      <c r="D90" s="83" t="s">
        <v>49</v>
      </c>
      <c r="E90" s="83" t="s">
        <v>27</v>
      </c>
      <c r="F90" s="83" t="s">
        <v>13</v>
      </c>
      <c r="G90" s="83" t="s">
        <v>204</v>
      </c>
      <c r="H90" s="7">
        <f>CEILING((PRODUCT(846,USD)),10)</f>
        <v>64510</v>
      </c>
      <c r="I90" s="8"/>
      <c r="J90" s="9"/>
    </row>
    <row r="91" spans="1:12" ht="20.100000000000001" customHeight="1" x14ac:dyDescent="0.3">
      <c r="A91" s="147"/>
      <c r="B91" s="72" t="s">
        <v>1527</v>
      </c>
      <c r="C91" s="83" t="s">
        <v>994</v>
      </c>
      <c r="D91" s="83" t="s">
        <v>49</v>
      </c>
      <c r="E91" s="83" t="s">
        <v>27</v>
      </c>
      <c r="F91" s="83" t="s">
        <v>15</v>
      </c>
      <c r="G91" s="83" t="s">
        <v>204</v>
      </c>
      <c r="H91" s="7">
        <f>CEILING((PRODUCT(1058,USD)),10)</f>
        <v>80680</v>
      </c>
      <c r="I91" s="8"/>
      <c r="J91" s="9"/>
    </row>
    <row r="92" spans="1:12" ht="20.100000000000001" customHeight="1" x14ac:dyDescent="0.3">
      <c r="A92" s="147"/>
      <c r="B92" s="72" t="s">
        <v>1528</v>
      </c>
      <c r="C92" s="83" t="s">
        <v>58</v>
      </c>
      <c r="D92" s="83" t="s">
        <v>49</v>
      </c>
      <c r="E92" s="83" t="s">
        <v>27</v>
      </c>
      <c r="F92" s="83" t="s">
        <v>13</v>
      </c>
      <c r="G92" s="83" t="s">
        <v>204</v>
      </c>
      <c r="H92" s="7">
        <f>CEILING((PRODUCT(899,USD)),10)</f>
        <v>68550</v>
      </c>
      <c r="I92" s="8"/>
      <c r="J92" s="9"/>
    </row>
    <row r="93" spans="1:12" ht="20.100000000000001" customHeight="1" x14ac:dyDescent="0.3">
      <c r="A93" s="147"/>
      <c r="B93" s="72" t="s">
        <v>1529</v>
      </c>
      <c r="C93" s="83" t="s">
        <v>58</v>
      </c>
      <c r="D93" s="83" t="s">
        <v>49</v>
      </c>
      <c r="E93" s="83" t="s">
        <v>27</v>
      </c>
      <c r="F93" s="83" t="s">
        <v>15</v>
      </c>
      <c r="G93" s="83" t="s">
        <v>204</v>
      </c>
      <c r="H93" s="7">
        <f>CEILING((PRODUCT(924,USD)),10)</f>
        <v>70460</v>
      </c>
      <c r="I93" s="8"/>
      <c r="J93" s="9"/>
    </row>
    <row r="94" spans="1:12" ht="20.100000000000001" customHeight="1" x14ac:dyDescent="0.3">
      <c r="A94" s="147"/>
      <c r="B94" s="72" t="s">
        <v>1530</v>
      </c>
      <c r="C94" s="83" t="s">
        <v>98</v>
      </c>
      <c r="D94" s="83" t="s">
        <v>49</v>
      </c>
      <c r="E94" s="83" t="s">
        <v>27</v>
      </c>
      <c r="F94" s="83" t="s">
        <v>13</v>
      </c>
      <c r="G94" s="83" t="s">
        <v>204</v>
      </c>
      <c r="H94" s="7">
        <f>CEILING((PRODUCT(952,USD)),10)</f>
        <v>72590</v>
      </c>
      <c r="I94" s="8"/>
      <c r="J94" s="9"/>
      <c r="L94" s="12" t="s">
        <v>1760</v>
      </c>
    </row>
    <row r="95" spans="1:12" ht="20.100000000000001" customHeight="1" x14ac:dyDescent="0.3">
      <c r="A95" s="147"/>
      <c r="B95" s="72" t="s">
        <v>1531</v>
      </c>
      <c r="C95" s="83" t="s">
        <v>98</v>
      </c>
      <c r="D95" s="83" t="s">
        <v>49</v>
      </c>
      <c r="E95" s="83" t="s">
        <v>27</v>
      </c>
      <c r="F95" s="83" t="s">
        <v>15</v>
      </c>
      <c r="G95" s="83" t="s">
        <v>204</v>
      </c>
      <c r="H95" s="7">
        <f>CEILING((PRODUCT(1164,USD)),10)</f>
        <v>88760</v>
      </c>
      <c r="I95" s="8"/>
      <c r="J95" s="9"/>
      <c r="L95" s="12" t="s">
        <v>1760</v>
      </c>
    </row>
    <row r="96" spans="1:12" ht="20.100000000000001" customHeight="1" x14ac:dyDescent="0.3">
      <c r="A96" s="147"/>
      <c r="B96" s="72" t="s">
        <v>1532</v>
      </c>
      <c r="C96" s="83" t="s">
        <v>99</v>
      </c>
      <c r="D96" s="83" t="s">
        <v>49</v>
      </c>
      <c r="E96" s="83" t="s">
        <v>27</v>
      </c>
      <c r="F96" s="83" t="s">
        <v>13</v>
      </c>
      <c r="G96" s="83" t="s">
        <v>204</v>
      </c>
      <c r="H96" s="7">
        <f>CEILING((PRODUCT(1031,USD)),10)</f>
        <v>78620</v>
      </c>
      <c r="I96" s="8"/>
      <c r="J96" s="9"/>
      <c r="L96" s="12" t="s">
        <v>1760</v>
      </c>
    </row>
    <row r="97" spans="1:12" ht="20.100000000000001" customHeight="1" x14ac:dyDescent="0.3">
      <c r="A97" s="147"/>
      <c r="B97" s="72" t="s">
        <v>1533</v>
      </c>
      <c r="C97" s="83" t="s">
        <v>99</v>
      </c>
      <c r="D97" s="83" t="s">
        <v>49</v>
      </c>
      <c r="E97" s="83" t="s">
        <v>27</v>
      </c>
      <c r="F97" s="83" t="s">
        <v>15</v>
      </c>
      <c r="G97" s="83" t="s">
        <v>204</v>
      </c>
      <c r="H97" s="7">
        <f>CEILING((PRODUCT(1216,USD)),10)</f>
        <v>92720</v>
      </c>
      <c r="I97" s="8"/>
      <c r="J97" s="9"/>
      <c r="L97" s="12" t="s">
        <v>1760</v>
      </c>
    </row>
    <row r="98" spans="1:12" ht="20.100000000000001" customHeight="1" x14ac:dyDescent="0.3">
      <c r="A98" s="147"/>
      <c r="B98" s="72" t="s">
        <v>1534</v>
      </c>
      <c r="C98" s="83" t="s">
        <v>384</v>
      </c>
      <c r="D98" s="83" t="s">
        <v>49</v>
      </c>
      <c r="E98" s="83" t="s">
        <v>27</v>
      </c>
      <c r="F98" s="83" t="s">
        <v>13</v>
      </c>
      <c r="G98" s="83" t="s">
        <v>204</v>
      </c>
      <c r="H98" s="7">
        <f>CEILING((PRODUCT(1111,USD)),10)</f>
        <v>84720</v>
      </c>
      <c r="I98" s="8"/>
      <c r="J98" s="9"/>
      <c r="L98" s="12" t="s">
        <v>1760</v>
      </c>
    </row>
    <row r="99" spans="1:12" ht="20.100000000000001" customHeight="1" x14ac:dyDescent="0.3">
      <c r="A99" s="147"/>
      <c r="B99" s="72" t="s">
        <v>1535</v>
      </c>
      <c r="C99" s="83" t="s">
        <v>384</v>
      </c>
      <c r="D99" s="83" t="s">
        <v>49</v>
      </c>
      <c r="E99" s="83" t="s">
        <v>27</v>
      </c>
      <c r="F99" s="83" t="s">
        <v>15</v>
      </c>
      <c r="G99" s="83" t="s">
        <v>204</v>
      </c>
      <c r="H99" s="7">
        <f>CEILING((PRODUCT(1269,USD)),10)</f>
        <v>96770</v>
      </c>
      <c r="I99" s="8"/>
      <c r="J99" s="9"/>
      <c r="L99" s="12" t="s">
        <v>1760</v>
      </c>
    </row>
    <row r="100" spans="1:12" ht="20.100000000000001" customHeight="1" x14ac:dyDescent="0.3">
      <c r="A100" s="147"/>
      <c r="B100" s="72" t="s">
        <v>1536</v>
      </c>
      <c r="C100" s="83" t="s">
        <v>58</v>
      </c>
      <c r="D100" s="83" t="s">
        <v>50</v>
      </c>
      <c r="E100" s="83" t="s">
        <v>27</v>
      </c>
      <c r="F100" s="83" t="s">
        <v>13</v>
      </c>
      <c r="G100" s="83" t="s">
        <v>204</v>
      </c>
      <c r="H100" s="7">
        <f>CEILING((PRODUCT(740,USD)),10)</f>
        <v>56430</v>
      </c>
      <c r="I100" s="8"/>
      <c r="J100" s="9"/>
      <c r="L100" s="12" t="s">
        <v>1760</v>
      </c>
    </row>
    <row r="101" spans="1:12" ht="20.100000000000001" customHeight="1" x14ac:dyDescent="0.3">
      <c r="A101" s="147"/>
      <c r="B101" s="72" t="s">
        <v>1537</v>
      </c>
      <c r="C101" s="83" t="s">
        <v>58</v>
      </c>
      <c r="D101" s="83" t="s">
        <v>50</v>
      </c>
      <c r="E101" s="83" t="s">
        <v>27</v>
      </c>
      <c r="F101" s="83" t="s">
        <v>15</v>
      </c>
      <c r="G101" s="83" t="s">
        <v>204</v>
      </c>
      <c r="H101" s="7">
        <f>CEILING((PRODUCT(1005,USD)),10)</f>
        <v>76640</v>
      </c>
      <c r="I101" s="8"/>
      <c r="J101" s="9"/>
      <c r="L101" s="12" t="s">
        <v>1760</v>
      </c>
    </row>
    <row r="102" spans="1:12" ht="20.100000000000001" customHeight="1" x14ac:dyDescent="0.3">
      <c r="A102" s="147"/>
      <c r="B102" s="72" t="s">
        <v>1538</v>
      </c>
      <c r="C102" s="83" t="s">
        <v>99</v>
      </c>
      <c r="D102" s="83" t="s">
        <v>50</v>
      </c>
      <c r="E102" s="83" t="s">
        <v>27</v>
      </c>
      <c r="F102" s="83" t="s">
        <v>13</v>
      </c>
      <c r="G102" s="83" t="s">
        <v>204</v>
      </c>
      <c r="H102" s="7">
        <f>CEILING((PRODUCT(793,USD)),10)</f>
        <v>60470</v>
      </c>
      <c r="I102" s="8"/>
      <c r="J102" s="9"/>
      <c r="L102" s="12" t="s">
        <v>1760</v>
      </c>
    </row>
    <row r="103" spans="1:12" ht="20.100000000000001" customHeight="1" x14ac:dyDescent="0.3">
      <c r="A103" s="147"/>
      <c r="B103" s="72" t="s">
        <v>1539</v>
      </c>
      <c r="C103" s="83" t="s">
        <v>99</v>
      </c>
      <c r="D103" s="83" t="s">
        <v>50</v>
      </c>
      <c r="E103" s="83" t="s">
        <v>27</v>
      </c>
      <c r="F103" s="83" t="s">
        <v>15</v>
      </c>
      <c r="G103" s="83" t="s">
        <v>204</v>
      </c>
      <c r="H103" s="7">
        <f>CEILING((PRODUCT(1058,USD)),10)</f>
        <v>80680</v>
      </c>
      <c r="I103" s="8"/>
      <c r="J103" s="9"/>
      <c r="L103" s="12" t="s">
        <v>1760</v>
      </c>
    </row>
    <row r="104" spans="1:12" ht="20.100000000000001" customHeight="1" x14ac:dyDescent="0.3">
      <c r="A104" s="147"/>
      <c r="B104" s="72" t="s">
        <v>1540</v>
      </c>
      <c r="C104" s="83" t="s">
        <v>100</v>
      </c>
      <c r="D104" s="83" t="s">
        <v>50</v>
      </c>
      <c r="E104" s="83" t="s">
        <v>27</v>
      </c>
      <c r="F104" s="83" t="s">
        <v>13</v>
      </c>
      <c r="G104" s="83" t="s">
        <v>204</v>
      </c>
      <c r="H104" s="7">
        <f>CEILING((PRODUCT(846,USD)),10)</f>
        <v>64510</v>
      </c>
      <c r="I104" s="8"/>
      <c r="J104" s="9"/>
      <c r="L104" s="12" t="s">
        <v>1760</v>
      </c>
    </row>
    <row r="105" spans="1:12" ht="20.100000000000001" customHeight="1" x14ac:dyDescent="0.3">
      <c r="A105" s="147"/>
      <c r="B105" s="72" t="s">
        <v>1541</v>
      </c>
      <c r="C105" s="83" t="s">
        <v>101</v>
      </c>
      <c r="D105" s="83" t="s">
        <v>50</v>
      </c>
      <c r="E105" s="83" t="s">
        <v>27</v>
      </c>
      <c r="F105" s="83" t="s">
        <v>13</v>
      </c>
      <c r="G105" s="83" t="s">
        <v>204</v>
      </c>
      <c r="H105" s="7">
        <f>CEILING((PRODUCT(1111,USD)),10)</f>
        <v>84720</v>
      </c>
      <c r="I105" s="8"/>
      <c r="J105" s="9"/>
      <c r="L105" s="12" t="s">
        <v>1760</v>
      </c>
    </row>
    <row r="106" spans="1:12" ht="20.100000000000001" customHeight="1" x14ac:dyDescent="0.3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</row>
    <row r="107" spans="1:12" ht="39.9" customHeight="1" x14ac:dyDescent="0.3">
      <c r="A107" s="139" t="s">
        <v>1664</v>
      </c>
      <c r="B107" s="139"/>
      <c r="C107" s="139"/>
      <c r="D107" s="139"/>
      <c r="E107" s="139"/>
      <c r="F107" s="139"/>
      <c r="G107" s="139"/>
      <c r="H107" s="139"/>
      <c r="I107" s="139"/>
      <c r="J107" s="139"/>
    </row>
    <row r="108" spans="1:12" ht="30" customHeight="1" x14ac:dyDescent="0.3">
      <c r="A108" s="5"/>
      <c r="B108" s="3" t="s">
        <v>2</v>
      </c>
      <c r="C108" s="4" t="s">
        <v>42</v>
      </c>
      <c r="D108" s="4" t="s">
        <v>43</v>
      </c>
      <c r="E108" s="3" t="s">
        <v>9</v>
      </c>
      <c r="F108" s="3" t="s">
        <v>10</v>
      </c>
      <c r="G108" s="4" t="s">
        <v>11</v>
      </c>
      <c r="H108" s="4" t="s">
        <v>17</v>
      </c>
      <c r="I108" s="4"/>
      <c r="J108" s="4"/>
    </row>
    <row r="109" spans="1:12" ht="30" customHeight="1" x14ac:dyDescent="0.3">
      <c r="A109" s="152"/>
      <c r="B109" s="100" t="s">
        <v>996</v>
      </c>
      <c r="C109" s="5" t="s">
        <v>45</v>
      </c>
      <c r="D109" s="5" t="s">
        <v>47</v>
      </c>
      <c r="E109" s="5" t="s">
        <v>14</v>
      </c>
      <c r="F109" s="5" t="s">
        <v>15</v>
      </c>
      <c r="G109" s="5" t="s">
        <v>16</v>
      </c>
      <c r="H109" s="7">
        <f>CEILING((PRODUCT(2020,USD)),10)</f>
        <v>154030</v>
      </c>
      <c r="I109" s="8"/>
      <c r="J109" s="9"/>
      <c r="L109" s="12" t="s">
        <v>1807</v>
      </c>
    </row>
    <row r="110" spans="1:12" ht="30" customHeight="1" x14ac:dyDescent="0.3">
      <c r="A110" s="153"/>
      <c r="B110" s="100" t="s">
        <v>997</v>
      </c>
      <c r="C110" s="5" t="s">
        <v>45</v>
      </c>
      <c r="D110" s="5" t="s">
        <v>47</v>
      </c>
      <c r="E110" s="5" t="s">
        <v>14</v>
      </c>
      <c r="F110" s="5" t="s">
        <v>13</v>
      </c>
      <c r="G110" s="5" t="s">
        <v>16</v>
      </c>
      <c r="H110" s="7">
        <f>CEILING((PRODUCT(1790,USD)),10)</f>
        <v>136490</v>
      </c>
      <c r="I110" s="8"/>
      <c r="J110" s="9"/>
      <c r="L110" s="12" t="s">
        <v>1807</v>
      </c>
    </row>
    <row r="111" spans="1:12" ht="30" customHeight="1" x14ac:dyDescent="0.3">
      <c r="A111" s="153"/>
      <c r="B111" s="100" t="s">
        <v>998</v>
      </c>
      <c r="C111" s="5" t="s">
        <v>46</v>
      </c>
      <c r="D111" s="5" t="s">
        <v>47</v>
      </c>
      <c r="E111" s="5" t="s">
        <v>14</v>
      </c>
      <c r="F111" s="5" t="s">
        <v>15</v>
      </c>
      <c r="G111" s="5" t="s">
        <v>16</v>
      </c>
      <c r="H111" s="7">
        <f>CEILING((PRODUCT(2654,USD)),10)</f>
        <v>202370</v>
      </c>
      <c r="I111" s="8"/>
      <c r="J111" s="9"/>
      <c r="L111" s="12" t="s">
        <v>1807</v>
      </c>
    </row>
    <row r="112" spans="1:12" ht="30" customHeight="1" x14ac:dyDescent="0.3">
      <c r="A112" s="153"/>
      <c r="B112" s="100" t="s">
        <v>999</v>
      </c>
      <c r="C112" s="5" t="s">
        <v>46</v>
      </c>
      <c r="D112" s="5" t="s">
        <v>47</v>
      </c>
      <c r="E112" s="5" t="s">
        <v>14</v>
      </c>
      <c r="F112" s="5" t="s">
        <v>13</v>
      </c>
      <c r="G112" s="5" t="s">
        <v>16</v>
      </c>
      <c r="H112" s="7">
        <f>CEILING((PRODUCT(2163,USD)),10)</f>
        <v>164930</v>
      </c>
      <c r="I112" s="8"/>
      <c r="J112" s="9"/>
      <c r="L112" s="12" t="s">
        <v>1807</v>
      </c>
    </row>
    <row r="113" spans="1:12" ht="30" customHeight="1" x14ac:dyDescent="0.3">
      <c r="A113" s="154"/>
      <c r="B113" s="100" t="s">
        <v>1000</v>
      </c>
      <c r="C113" s="5" t="s">
        <v>52</v>
      </c>
      <c r="D113" s="5" t="s">
        <v>47</v>
      </c>
      <c r="E113" s="5" t="s">
        <v>14</v>
      </c>
      <c r="F113" s="5" t="s">
        <v>15</v>
      </c>
      <c r="G113" s="5" t="s">
        <v>16</v>
      </c>
      <c r="H113" s="7">
        <f>CEILING((PRODUCT(2752,USD)),10)</f>
        <v>209840</v>
      </c>
      <c r="I113" s="8"/>
      <c r="J113" s="9"/>
      <c r="L113" s="12" t="s">
        <v>1807</v>
      </c>
    </row>
    <row r="114" spans="1:12" ht="20.100000000000001" customHeight="1" x14ac:dyDescent="0.3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</row>
    <row r="115" spans="1:12" ht="39.9" customHeight="1" x14ac:dyDescent="0.3">
      <c r="A115" s="139" t="s">
        <v>1665</v>
      </c>
      <c r="B115" s="140"/>
      <c r="C115" s="140"/>
      <c r="D115" s="140"/>
      <c r="E115" s="140"/>
      <c r="F115" s="140"/>
      <c r="G115" s="140"/>
      <c r="H115" s="140"/>
      <c r="I115" s="140"/>
      <c r="J115" s="140"/>
    </row>
    <row r="116" spans="1:12" ht="30" customHeight="1" x14ac:dyDescent="0.3">
      <c r="A116" s="5"/>
      <c r="B116" s="3" t="s">
        <v>2</v>
      </c>
      <c r="C116" s="4" t="s">
        <v>42</v>
      </c>
      <c r="D116" s="4" t="s">
        <v>43</v>
      </c>
      <c r="E116" s="3" t="s">
        <v>9</v>
      </c>
      <c r="F116" s="3" t="s">
        <v>10</v>
      </c>
      <c r="G116" s="4" t="s">
        <v>11</v>
      </c>
      <c r="H116" s="4" t="s">
        <v>17</v>
      </c>
      <c r="I116" s="4"/>
      <c r="J116" s="4"/>
    </row>
    <row r="117" spans="1:12" ht="21.9" customHeight="1" x14ac:dyDescent="0.3">
      <c r="A117" s="147"/>
      <c r="B117" s="100" t="s">
        <v>1001</v>
      </c>
      <c r="C117" s="5" t="s">
        <v>46</v>
      </c>
      <c r="D117" s="5" t="s">
        <v>48</v>
      </c>
      <c r="E117" s="5" t="s">
        <v>27</v>
      </c>
      <c r="F117" s="5" t="s">
        <v>15</v>
      </c>
      <c r="G117" s="15" t="s">
        <v>380</v>
      </c>
      <c r="H117" s="7">
        <f>CEILING((PRODUCT(1616,USD)),10)</f>
        <v>123220</v>
      </c>
      <c r="I117" s="8"/>
      <c r="J117" s="9"/>
    </row>
    <row r="118" spans="1:12" ht="21.9" customHeight="1" x14ac:dyDescent="0.3">
      <c r="A118" s="147"/>
      <c r="B118" s="100" t="s">
        <v>1002</v>
      </c>
      <c r="C118" s="5" t="s">
        <v>46</v>
      </c>
      <c r="D118" s="5" t="s">
        <v>48</v>
      </c>
      <c r="E118" s="5" t="s">
        <v>27</v>
      </c>
      <c r="F118" s="5" t="s">
        <v>13</v>
      </c>
      <c r="G118" s="15" t="s">
        <v>380</v>
      </c>
      <c r="H118" s="7">
        <f>CEILING((PRODUCT(1390,USD)),10)</f>
        <v>105990</v>
      </c>
      <c r="I118" s="8"/>
      <c r="J118" s="9"/>
    </row>
    <row r="119" spans="1:12" ht="21.9" customHeight="1" x14ac:dyDescent="0.3">
      <c r="A119" s="147"/>
      <c r="B119" s="100" t="s">
        <v>1003</v>
      </c>
      <c r="C119" s="5" t="s">
        <v>53</v>
      </c>
      <c r="D119" s="5" t="s">
        <v>48</v>
      </c>
      <c r="E119" s="5" t="s">
        <v>27</v>
      </c>
      <c r="F119" s="5" t="s">
        <v>15</v>
      </c>
      <c r="G119" s="15" t="s">
        <v>380</v>
      </c>
      <c r="H119" s="7">
        <f>CEILING((PRODUCT(1616,USD)),10)</f>
        <v>123220</v>
      </c>
      <c r="I119" s="8"/>
      <c r="J119" s="9"/>
    </row>
    <row r="120" spans="1:12" ht="21.9" customHeight="1" x14ac:dyDescent="0.3">
      <c r="A120" s="147"/>
      <c r="B120" s="100" t="s">
        <v>1004</v>
      </c>
      <c r="C120" s="5" t="s">
        <v>53</v>
      </c>
      <c r="D120" s="5" t="s">
        <v>48</v>
      </c>
      <c r="E120" s="5" t="s">
        <v>27</v>
      </c>
      <c r="F120" s="5" t="s">
        <v>13</v>
      </c>
      <c r="G120" s="15" t="s">
        <v>380</v>
      </c>
      <c r="H120" s="7">
        <f>CEILING((PRODUCT(1435,USD)),10)</f>
        <v>109420</v>
      </c>
      <c r="I120" s="8"/>
      <c r="J120" s="9"/>
    </row>
    <row r="121" spans="1:12" ht="21.9" customHeight="1" x14ac:dyDescent="0.3">
      <c r="A121" s="147"/>
      <c r="B121" s="100" t="s">
        <v>1005</v>
      </c>
      <c r="C121" s="5" t="s">
        <v>356</v>
      </c>
      <c r="D121" s="5" t="s">
        <v>48</v>
      </c>
      <c r="E121" s="5" t="s">
        <v>27</v>
      </c>
      <c r="F121" s="5" t="s">
        <v>15</v>
      </c>
      <c r="G121" s="15" t="s">
        <v>380</v>
      </c>
      <c r="H121" s="7">
        <f>CEILING((PRODUCT(1750,USD)),10)</f>
        <v>133440</v>
      </c>
      <c r="I121" s="8"/>
      <c r="J121" s="9"/>
    </row>
    <row r="122" spans="1:12" ht="21.9" customHeight="1" x14ac:dyDescent="0.3">
      <c r="A122" s="147"/>
      <c r="B122" s="100" t="s">
        <v>1006</v>
      </c>
      <c r="C122" s="5" t="s">
        <v>356</v>
      </c>
      <c r="D122" s="5" t="s">
        <v>48</v>
      </c>
      <c r="E122" s="5" t="s">
        <v>27</v>
      </c>
      <c r="F122" s="5" t="s">
        <v>13</v>
      </c>
      <c r="G122" s="15" t="s">
        <v>380</v>
      </c>
      <c r="H122" s="7">
        <f>CEILING((PRODUCT(1536,USD)),10)</f>
        <v>117120</v>
      </c>
      <c r="I122" s="8"/>
      <c r="J122" s="9"/>
    </row>
    <row r="123" spans="1:12" ht="21.9" customHeight="1" x14ac:dyDescent="0.3">
      <c r="A123" s="147"/>
      <c r="B123" s="100" t="s">
        <v>1007</v>
      </c>
      <c r="C123" s="5" t="s">
        <v>96</v>
      </c>
      <c r="D123" s="5" t="s">
        <v>49</v>
      </c>
      <c r="E123" s="5" t="s">
        <v>27</v>
      </c>
      <c r="F123" s="5" t="s">
        <v>15</v>
      </c>
      <c r="G123" s="15" t="s">
        <v>899</v>
      </c>
      <c r="H123" s="7">
        <f>CEILING((PRODUCT(1505,USD)),10)</f>
        <v>114760</v>
      </c>
      <c r="I123" s="8"/>
      <c r="J123" s="9"/>
      <c r="L123" s="12" t="s">
        <v>1823</v>
      </c>
    </row>
    <row r="124" spans="1:12" ht="21.9" customHeight="1" x14ac:dyDescent="0.3">
      <c r="A124" s="147"/>
      <c r="B124" s="100" t="s">
        <v>1008</v>
      </c>
      <c r="C124" s="5" t="s">
        <v>96</v>
      </c>
      <c r="D124" s="5" t="s">
        <v>49</v>
      </c>
      <c r="E124" s="5" t="s">
        <v>27</v>
      </c>
      <c r="F124" s="5" t="s">
        <v>13</v>
      </c>
      <c r="G124" s="15" t="s">
        <v>899</v>
      </c>
      <c r="H124" s="7">
        <f>CEILING((PRODUCT(1325,USD)),10)</f>
        <v>101040</v>
      </c>
      <c r="I124" s="8"/>
      <c r="J124" s="9"/>
    </row>
    <row r="125" spans="1:12" ht="21.9" customHeight="1" x14ac:dyDescent="0.3">
      <c r="A125" s="147"/>
      <c r="B125" s="100" t="s">
        <v>1009</v>
      </c>
      <c r="C125" s="5" t="s">
        <v>898</v>
      </c>
      <c r="D125" s="5" t="s">
        <v>49</v>
      </c>
      <c r="E125" s="5" t="s">
        <v>27</v>
      </c>
      <c r="F125" s="5" t="s">
        <v>15</v>
      </c>
      <c r="G125" s="15" t="s">
        <v>899</v>
      </c>
      <c r="H125" s="7">
        <f>CEILING((PRODUCT(1555,USD)),10)</f>
        <v>118570</v>
      </c>
      <c r="I125" s="8"/>
      <c r="J125" s="9"/>
    </row>
    <row r="126" spans="1:12" ht="21.9" customHeight="1" x14ac:dyDescent="0.3">
      <c r="A126" s="147"/>
      <c r="B126" s="100" t="s">
        <v>1010</v>
      </c>
      <c r="C126" s="5" t="s">
        <v>898</v>
      </c>
      <c r="D126" s="5" t="s">
        <v>49</v>
      </c>
      <c r="E126" s="5" t="s">
        <v>27</v>
      </c>
      <c r="F126" s="5" t="s">
        <v>13</v>
      </c>
      <c r="G126" s="15" t="s">
        <v>899</v>
      </c>
      <c r="H126" s="7">
        <f>CEILING((PRODUCT(1370,USD)),10)</f>
        <v>104470</v>
      </c>
      <c r="I126" s="8"/>
      <c r="J126" s="9"/>
    </row>
    <row r="127" spans="1:12" ht="21.9" customHeight="1" x14ac:dyDescent="0.3">
      <c r="A127" s="147"/>
      <c r="B127" s="100" t="s">
        <v>1011</v>
      </c>
      <c r="C127" s="5" t="s">
        <v>58</v>
      </c>
      <c r="D127" s="5" t="s">
        <v>49</v>
      </c>
      <c r="E127" s="5" t="s">
        <v>27</v>
      </c>
      <c r="F127" s="5" t="s">
        <v>15</v>
      </c>
      <c r="G127" s="15" t="s">
        <v>899</v>
      </c>
      <c r="H127" s="7">
        <f>CEILING((PRODUCT(1545,USD)),10)</f>
        <v>117810</v>
      </c>
      <c r="I127" s="8"/>
      <c r="J127" s="9"/>
    </row>
    <row r="128" spans="1:12" ht="21.9" customHeight="1" x14ac:dyDescent="0.3">
      <c r="A128" s="147"/>
      <c r="B128" s="100" t="s">
        <v>1012</v>
      </c>
      <c r="C128" s="5" t="s">
        <v>58</v>
      </c>
      <c r="D128" s="5" t="s">
        <v>49</v>
      </c>
      <c r="E128" s="5" t="s">
        <v>27</v>
      </c>
      <c r="F128" s="5" t="s">
        <v>13</v>
      </c>
      <c r="G128" s="15" t="s">
        <v>899</v>
      </c>
      <c r="H128" s="7">
        <f>CEILING((PRODUCT(1405,USD)),10)</f>
        <v>107140</v>
      </c>
      <c r="I128" s="8"/>
      <c r="J128" s="9"/>
    </row>
    <row r="129" spans="1:12" ht="21.9" customHeight="1" x14ac:dyDescent="0.3">
      <c r="A129" s="147"/>
      <c r="B129" s="100" t="s">
        <v>1013</v>
      </c>
      <c r="C129" s="5" t="s">
        <v>99</v>
      </c>
      <c r="D129" s="5" t="s">
        <v>49</v>
      </c>
      <c r="E129" s="5" t="s">
        <v>27</v>
      </c>
      <c r="F129" s="5" t="s">
        <v>15</v>
      </c>
      <c r="G129" s="15" t="s">
        <v>899</v>
      </c>
      <c r="H129" s="7">
        <f>CEILING((PRODUCT(1656,USD)),10)</f>
        <v>126270</v>
      </c>
      <c r="I129" s="8"/>
      <c r="J129" s="9"/>
    </row>
    <row r="130" spans="1:12" ht="21.9" customHeight="1" x14ac:dyDescent="0.3">
      <c r="A130" s="147"/>
      <c r="B130" s="100" t="s">
        <v>1014</v>
      </c>
      <c r="C130" s="5" t="s">
        <v>99</v>
      </c>
      <c r="D130" s="5" t="s">
        <v>49</v>
      </c>
      <c r="E130" s="5" t="s">
        <v>27</v>
      </c>
      <c r="F130" s="5" t="s">
        <v>13</v>
      </c>
      <c r="G130" s="15" t="s">
        <v>899</v>
      </c>
      <c r="H130" s="7">
        <f>CEILING((PRODUCT(1467,USD)),10)</f>
        <v>111860</v>
      </c>
      <c r="I130" s="8"/>
      <c r="J130" s="9"/>
    </row>
    <row r="131" spans="1:12" ht="21.9" customHeight="1" x14ac:dyDescent="0.3">
      <c r="A131" s="147"/>
      <c r="B131" s="100" t="s">
        <v>1015</v>
      </c>
      <c r="C131" s="5" t="s">
        <v>384</v>
      </c>
      <c r="D131" s="5" t="s">
        <v>49</v>
      </c>
      <c r="E131" s="5" t="s">
        <v>27</v>
      </c>
      <c r="F131" s="5" t="s">
        <v>15</v>
      </c>
      <c r="G131" s="15" t="s">
        <v>899</v>
      </c>
      <c r="H131" s="7">
        <f>CEILING((PRODUCT(1918,USD)),10)</f>
        <v>146250</v>
      </c>
      <c r="I131" s="8"/>
      <c r="J131" s="9"/>
    </row>
    <row r="132" spans="1:12" ht="21.9" customHeight="1" x14ac:dyDescent="0.3">
      <c r="A132" s="147"/>
      <c r="B132" s="100" t="s">
        <v>1016</v>
      </c>
      <c r="C132" s="5" t="s">
        <v>99</v>
      </c>
      <c r="D132" s="5" t="s">
        <v>50</v>
      </c>
      <c r="E132" s="5" t="s">
        <v>224</v>
      </c>
      <c r="F132" s="5" t="s">
        <v>15</v>
      </c>
      <c r="G132" s="15" t="s">
        <v>899</v>
      </c>
      <c r="H132" s="7">
        <f>CEILING((PRODUCT(1150,USD)),10)</f>
        <v>87690</v>
      </c>
      <c r="I132" s="8"/>
      <c r="J132" s="9"/>
    </row>
    <row r="133" spans="1:12" ht="21.9" customHeight="1" x14ac:dyDescent="0.3">
      <c r="A133" s="147"/>
      <c r="B133" s="100" t="s">
        <v>1017</v>
      </c>
      <c r="C133" s="5" t="s">
        <v>99</v>
      </c>
      <c r="D133" s="5" t="s">
        <v>50</v>
      </c>
      <c r="E133" s="5" t="s">
        <v>224</v>
      </c>
      <c r="F133" s="5" t="s">
        <v>13</v>
      </c>
      <c r="G133" s="15" t="s">
        <v>899</v>
      </c>
      <c r="H133" s="7">
        <f>CEILING((PRODUCT(985,USD)),10)</f>
        <v>75110</v>
      </c>
      <c r="I133" s="8"/>
      <c r="J133" s="9"/>
    </row>
    <row r="134" spans="1:12" ht="21.9" customHeight="1" x14ac:dyDescent="0.3">
      <c r="A134" s="147"/>
      <c r="B134" s="100" t="s">
        <v>1018</v>
      </c>
      <c r="C134" s="5" t="s">
        <v>101</v>
      </c>
      <c r="D134" s="5" t="s">
        <v>50</v>
      </c>
      <c r="E134" s="5" t="s">
        <v>27</v>
      </c>
      <c r="F134" s="5" t="s">
        <v>15</v>
      </c>
      <c r="G134" s="15" t="s">
        <v>899</v>
      </c>
      <c r="H134" s="7">
        <f>CEILING((PRODUCT(1775,USD)),10)</f>
        <v>135350</v>
      </c>
      <c r="I134" s="8"/>
      <c r="J134" s="9"/>
    </row>
    <row r="135" spans="1:12" ht="21.9" customHeight="1" x14ac:dyDescent="0.3">
      <c r="A135" s="147"/>
      <c r="B135" s="100" t="s">
        <v>1019</v>
      </c>
      <c r="C135" s="5" t="s">
        <v>101</v>
      </c>
      <c r="D135" s="5" t="s">
        <v>50</v>
      </c>
      <c r="E135" s="5" t="s">
        <v>27</v>
      </c>
      <c r="F135" s="5" t="s">
        <v>13</v>
      </c>
      <c r="G135" s="15" t="s">
        <v>899</v>
      </c>
      <c r="H135" s="7">
        <f>CEILING((PRODUCT(1258,USD)),10)</f>
        <v>95930</v>
      </c>
      <c r="I135" s="8"/>
      <c r="J135" s="9"/>
    </row>
    <row r="136" spans="1:12" ht="20.100000000000001" customHeight="1" x14ac:dyDescent="0.3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</row>
    <row r="137" spans="1:12" ht="39.9" customHeight="1" x14ac:dyDescent="0.3">
      <c r="A137" s="150" t="s">
        <v>1666</v>
      </c>
      <c r="B137" s="151"/>
      <c r="C137" s="151"/>
      <c r="D137" s="151"/>
      <c r="E137" s="151"/>
      <c r="F137" s="151"/>
      <c r="G137" s="151"/>
      <c r="H137" s="151"/>
      <c r="I137" s="151"/>
      <c r="J137" s="151"/>
    </row>
    <row r="138" spans="1:12" ht="30" customHeight="1" x14ac:dyDescent="0.3">
      <c r="A138" s="5"/>
      <c r="B138" s="38" t="s">
        <v>2</v>
      </c>
      <c r="C138" s="4" t="s">
        <v>42</v>
      </c>
      <c r="D138" s="4" t="s">
        <v>43</v>
      </c>
      <c r="E138" s="3" t="s">
        <v>9</v>
      </c>
      <c r="F138" s="3" t="s">
        <v>10</v>
      </c>
      <c r="G138" s="4" t="s">
        <v>11</v>
      </c>
      <c r="H138" s="4" t="s">
        <v>17</v>
      </c>
      <c r="I138" s="4"/>
      <c r="J138" s="4"/>
    </row>
    <row r="139" spans="1:12" ht="30" customHeight="1" x14ac:dyDescent="0.3">
      <c r="A139" s="152"/>
      <c r="B139" s="72" t="s">
        <v>590</v>
      </c>
      <c r="C139" s="5" t="s">
        <v>571</v>
      </c>
      <c r="D139" s="5" t="s">
        <v>593</v>
      </c>
      <c r="E139" s="5" t="s">
        <v>950</v>
      </c>
      <c r="F139" s="5" t="s">
        <v>13</v>
      </c>
      <c r="G139" s="5" t="s">
        <v>16</v>
      </c>
      <c r="H139" s="7">
        <f>CEILING((PRODUCT(1398,USD)),10)</f>
        <v>106600</v>
      </c>
      <c r="I139" s="8"/>
      <c r="J139" s="9"/>
      <c r="L139" s="12" t="s">
        <v>1718</v>
      </c>
    </row>
    <row r="140" spans="1:12" ht="30" customHeight="1" x14ac:dyDescent="0.3">
      <c r="A140" s="153"/>
      <c r="B140" s="100" t="s">
        <v>591</v>
      </c>
      <c r="C140" s="5" t="s">
        <v>571</v>
      </c>
      <c r="D140" s="5" t="s">
        <v>594</v>
      </c>
      <c r="E140" s="58" t="s">
        <v>950</v>
      </c>
      <c r="F140" s="5" t="s">
        <v>13</v>
      </c>
      <c r="G140" s="5" t="s">
        <v>16</v>
      </c>
      <c r="H140" s="7">
        <f>CEILING((PRODUCT(1842,USD)),10)</f>
        <v>140460</v>
      </c>
      <c r="I140" s="8"/>
      <c r="J140" s="9"/>
      <c r="L140" s="12" t="s">
        <v>1718</v>
      </c>
    </row>
    <row r="141" spans="1:12" ht="30" customHeight="1" x14ac:dyDescent="0.3">
      <c r="A141" s="153"/>
      <c r="B141" s="100" t="s">
        <v>1020</v>
      </c>
      <c r="C141" s="41" t="s">
        <v>1021</v>
      </c>
      <c r="D141" s="41" t="s">
        <v>595</v>
      </c>
      <c r="E141" s="58" t="s">
        <v>950</v>
      </c>
      <c r="F141" s="41" t="s">
        <v>13</v>
      </c>
      <c r="G141" s="41" t="s">
        <v>16</v>
      </c>
      <c r="H141" s="7">
        <f>CEILING((PRODUCT(2008,USD)),10)</f>
        <v>153110</v>
      </c>
      <c r="I141" s="8"/>
      <c r="J141" s="9"/>
    </row>
    <row r="142" spans="1:12" ht="30" customHeight="1" x14ac:dyDescent="0.3">
      <c r="A142" s="153"/>
      <c r="B142" s="100" t="s">
        <v>1180</v>
      </c>
      <c r="C142" s="46" t="s">
        <v>1021</v>
      </c>
      <c r="D142" s="46" t="s">
        <v>595</v>
      </c>
      <c r="E142" s="58" t="s">
        <v>950</v>
      </c>
      <c r="F142" s="46" t="s">
        <v>13</v>
      </c>
      <c r="G142" s="52" t="s">
        <v>16</v>
      </c>
      <c r="H142" s="7">
        <f>CEILING((PRODUCT(2442,USD)),10)</f>
        <v>186210</v>
      </c>
      <c r="I142" s="8"/>
      <c r="J142" s="9"/>
    </row>
    <row r="143" spans="1:12" ht="30" customHeight="1" x14ac:dyDescent="0.3">
      <c r="A143" s="154"/>
      <c r="B143" s="100" t="s">
        <v>1181</v>
      </c>
      <c r="C143" s="46" t="s">
        <v>45</v>
      </c>
      <c r="D143" s="46" t="s">
        <v>595</v>
      </c>
      <c r="E143" s="58" t="s">
        <v>950</v>
      </c>
      <c r="F143" s="46" t="s">
        <v>13</v>
      </c>
      <c r="G143" s="52" t="s">
        <v>16</v>
      </c>
      <c r="H143" s="7">
        <f>CEILING((PRODUCT(2605,USD)),10)</f>
        <v>198640</v>
      </c>
      <c r="I143" s="8"/>
      <c r="J143" s="9"/>
      <c r="L143" s="12" t="s">
        <v>1717</v>
      </c>
    </row>
    <row r="144" spans="1:12" ht="20.100000000000001" customHeight="1" x14ac:dyDescent="0.3">
      <c r="A144" s="149"/>
      <c r="B144" s="149"/>
      <c r="C144" s="149"/>
      <c r="D144" s="149"/>
      <c r="E144" s="149"/>
      <c r="F144" s="149"/>
      <c r="G144" s="149"/>
      <c r="H144" s="149"/>
      <c r="I144" s="149"/>
      <c r="J144" s="149"/>
    </row>
    <row r="145" spans="1:13" ht="39.9" customHeight="1" x14ac:dyDescent="0.3">
      <c r="A145" s="150" t="s">
        <v>1543</v>
      </c>
      <c r="B145" s="151"/>
      <c r="C145" s="151"/>
      <c r="D145" s="151"/>
      <c r="E145" s="151"/>
      <c r="F145" s="151"/>
      <c r="G145" s="151"/>
      <c r="H145" s="151"/>
      <c r="I145" s="151"/>
      <c r="J145" s="151"/>
    </row>
    <row r="146" spans="1:13" ht="45" customHeight="1" x14ac:dyDescent="0.3">
      <c r="A146" s="48"/>
      <c r="B146" s="38" t="s">
        <v>2</v>
      </c>
      <c r="C146" s="4" t="s">
        <v>42</v>
      </c>
      <c r="D146" s="4" t="s">
        <v>1184</v>
      </c>
      <c r="E146" s="38" t="s">
        <v>9</v>
      </c>
      <c r="F146" s="38" t="s">
        <v>10</v>
      </c>
      <c r="G146" s="4" t="s">
        <v>11</v>
      </c>
      <c r="H146" s="4" t="s">
        <v>17</v>
      </c>
      <c r="I146" s="4"/>
      <c r="J146" s="4"/>
    </row>
    <row r="147" spans="1:13" ht="120" customHeight="1" x14ac:dyDescent="0.3">
      <c r="A147" s="48"/>
      <c r="B147" s="100" t="s">
        <v>1182</v>
      </c>
      <c r="C147" s="48" t="s">
        <v>195</v>
      </c>
      <c r="D147" s="47" t="s">
        <v>1183</v>
      </c>
      <c r="E147" s="48" t="s">
        <v>187</v>
      </c>
      <c r="F147" s="48" t="s">
        <v>13</v>
      </c>
      <c r="G147" s="48" t="s">
        <v>187</v>
      </c>
      <c r="H147" s="7">
        <f>CEILING((PRODUCT(407,USD)),10)</f>
        <v>31040</v>
      </c>
      <c r="I147" s="8"/>
      <c r="J147" s="9"/>
    </row>
    <row r="148" spans="1:13" ht="20.100000000000001" customHeight="1" x14ac:dyDescent="0.3">
      <c r="A148" s="149"/>
      <c r="B148" s="149"/>
      <c r="C148" s="149"/>
      <c r="D148" s="149"/>
      <c r="E148" s="149"/>
      <c r="F148" s="149"/>
      <c r="G148" s="149"/>
      <c r="H148" s="149"/>
      <c r="I148" s="149"/>
      <c r="J148" s="149"/>
    </row>
    <row r="149" spans="1:13" ht="39.9" customHeight="1" x14ac:dyDescent="0.3">
      <c r="A149" s="150" t="s">
        <v>1744</v>
      </c>
      <c r="B149" s="151"/>
      <c r="C149" s="151"/>
      <c r="D149" s="151"/>
      <c r="E149" s="151"/>
      <c r="F149" s="151"/>
      <c r="G149" s="151"/>
      <c r="H149" s="151"/>
      <c r="I149" s="151"/>
      <c r="J149" s="151"/>
    </row>
    <row r="150" spans="1:13" ht="30" customHeight="1" x14ac:dyDescent="0.3">
      <c r="A150" s="116"/>
      <c r="B150" s="38" t="s">
        <v>2</v>
      </c>
      <c r="C150" s="4" t="s">
        <v>42</v>
      </c>
      <c r="D150" s="4" t="s">
        <v>43</v>
      </c>
      <c r="E150" s="38" t="s">
        <v>9</v>
      </c>
      <c r="F150" s="38" t="s">
        <v>10</v>
      </c>
      <c r="G150" s="4" t="s">
        <v>11</v>
      </c>
      <c r="H150" s="4" t="s">
        <v>17</v>
      </c>
      <c r="I150" s="4"/>
      <c r="J150" s="4"/>
    </row>
    <row r="151" spans="1:13" ht="24.9" customHeight="1" x14ac:dyDescent="0.3">
      <c r="A151" s="147"/>
      <c r="B151" s="72" t="s">
        <v>1727</v>
      </c>
      <c r="C151" s="10" t="s">
        <v>46</v>
      </c>
      <c r="D151" s="10" t="s">
        <v>49</v>
      </c>
      <c r="E151" s="10" t="s">
        <v>961</v>
      </c>
      <c r="F151" s="10" t="s">
        <v>13</v>
      </c>
      <c r="G151" s="15" t="s">
        <v>1742</v>
      </c>
      <c r="H151" s="7">
        <f>CEILING((PRODUCT(190,USD)),10)</f>
        <v>14490</v>
      </c>
      <c r="I151" s="60"/>
      <c r="J151" s="25"/>
      <c r="L151" s="12" t="s">
        <v>1861</v>
      </c>
      <c r="M151" s="12" t="s">
        <v>1858</v>
      </c>
    </row>
    <row r="152" spans="1:13" ht="24.9" customHeight="1" x14ac:dyDescent="0.3">
      <c r="A152" s="147"/>
      <c r="B152" s="72" t="s">
        <v>1728</v>
      </c>
      <c r="C152" s="10" t="s">
        <v>53</v>
      </c>
      <c r="D152" s="10" t="s">
        <v>49</v>
      </c>
      <c r="E152" s="10" t="s">
        <v>961</v>
      </c>
      <c r="F152" s="10" t="s">
        <v>13</v>
      </c>
      <c r="G152" s="15" t="s">
        <v>1742</v>
      </c>
      <c r="H152" s="7">
        <f>CEILING((PRODUCT(222,USD)),10)</f>
        <v>16930</v>
      </c>
      <c r="I152" s="60"/>
      <c r="J152" s="25"/>
      <c r="L152" s="12" t="s">
        <v>1861</v>
      </c>
      <c r="M152" s="12" t="s">
        <v>1858</v>
      </c>
    </row>
    <row r="153" spans="1:13" ht="24.9" customHeight="1" x14ac:dyDescent="0.3">
      <c r="A153" s="147"/>
      <c r="B153" s="72" t="s">
        <v>1729</v>
      </c>
      <c r="C153" s="10" t="s">
        <v>96</v>
      </c>
      <c r="D153" s="10" t="s">
        <v>49</v>
      </c>
      <c r="E153" s="10" t="s">
        <v>961</v>
      </c>
      <c r="F153" s="10" t="s">
        <v>13</v>
      </c>
      <c r="G153" s="15" t="s">
        <v>1742</v>
      </c>
      <c r="H153" s="7">
        <f>CEILING((PRODUCT(238,USD)),10)</f>
        <v>18150</v>
      </c>
      <c r="I153" s="60"/>
      <c r="J153" s="25"/>
      <c r="L153" s="12" t="s">
        <v>1861</v>
      </c>
      <c r="M153" s="12" t="s">
        <v>1858</v>
      </c>
    </row>
    <row r="154" spans="1:13" ht="24.9" customHeight="1" x14ac:dyDescent="0.3">
      <c r="A154" s="147"/>
      <c r="B154" s="72" t="s">
        <v>1730</v>
      </c>
      <c r="C154" s="10" t="s">
        <v>46</v>
      </c>
      <c r="D154" s="10" t="s">
        <v>50</v>
      </c>
      <c r="E154" s="10" t="s">
        <v>961</v>
      </c>
      <c r="F154" s="10" t="s">
        <v>13</v>
      </c>
      <c r="G154" s="15" t="s">
        <v>1743</v>
      </c>
      <c r="H154" s="7">
        <f>CEILING((PRODUCT(175,USD)),10)</f>
        <v>13350</v>
      </c>
      <c r="I154" s="60"/>
      <c r="J154" s="25"/>
      <c r="L154" s="12" t="s">
        <v>1861</v>
      </c>
      <c r="M154" s="12" t="s">
        <v>1858</v>
      </c>
    </row>
    <row r="155" spans="1:13" ht="24.9" customHeight="1" x14ac:dyDescent="0.3">
      <c r="A155" s="147"/>
      <c r="B155" s="72" t="s">
        <v>1731</v>
      </c>
      <c r="C155" s="10" t="s">
        <v>96</v>
      </c>
      <c r="D155" s="10" t="s">
        <v>50</v>
      </c>
      <c r="E155" s="10" t="s">
        <v>961</v>
      </c>
      <c r="F155" s="10" t="s">
        <v>13</v>
      </c>
      <c r="G155" s="15" t="s">
        <v>1743</v>
      </c>
      <c r="H155" s="7">
        <f>CEILING((PRODUCT(175,USD)),10)</f>
        <v>13350</v>
      </c>
      <c r="I155" s="60"/>
      <c r="J155" s="25"/>
      <c r="L155" s="12" t="s">
        <v>1861</v>
      </c>
      <c r="M155" s="12" t="s">
        <v>1858</v>
      </c>
    </row>
    <row r="156" spans="1:13" ht="24.9" customHeight="1" x14ac:dyDescent="0.3">
      <c r="A156" s="147"/>
      <c r="B156" s="72" t="s">
        <v>1732</v>
      </c>
      <c r="C156" s="10" t="s">
        <v>56</v>
      </c>
      <c r="D156" s="10" t="s">
        <v>50</v>
      </c>
      <c r="E156" s="10" t="s">
        <v>961</v>
      </c>
      <c r="F156" s="10" t="s">
        <v>13</v>
      </c>
      <c r="G156" s="15" t="s">
        <v>1743</v>
      </c>
      <c r="H156" s="7">
        <f>CEILING((PRODUCT(175,USD)),10)</f>
        <v>13350</v>
      </c>
      <c r="I156" s="60"/>
      <c r="J156" s="25"/>
      <c r="L156" s="12" t="s">
        <v>1861</v>
      </c>
      <c r="M156" s="12" t="s">
        <v>1858</v>
      </c>
    </row>
    <row r="157" spans="1:13" ht="24.9" customHeight="1" x14ac:dyDescent="0.3">
      <c r="A157" s="147"/>
      <c r="B157" s="72" t="s">
        <v>1733</v>
      </c>
      <c r="C157" s="10" t="s">
        <v>58</v>
      </c>
      <c r="D157" s="10" t="s">
        <v>50</v>
      </c>
      <c r="E157" s="10" t="s">
        <v>961</v>
      </c>
      <c r="F157" s="10" t="s">
        <v>13</v>
      </c>
      <c r="G157" s="15" t="s">
        <v>1743</v>
      </c>
      <c r="H157" s="7">
        <f>CEILING((PRODUCT(175,USD)),10)</f>
        <v>13350</v>
      </c>
      <c r="I157" s="60"/>
      <c r="J157" s="25"/>
      <c r="L157" s="12" t="s">
        <v>1861</v>
      </c>
      <c r="M157" s="12" t="s">
        <v>1858</v>
      </c>
    </row>
    <row r="158" spans="1:13" ht="24.9" customHeight="1" x14ac:dyDescent="0.3">
      <c r="A158" s="147"/>
      <c r="B158" s="72" t="s">
        <v>1734</v>
      </c>
      <c r="C158" s="10" t="s">
        <v>58</v>
      </c>
      <c r="D158" s="10" t="s">
        <v>50</v>
      </c>
      <c r="E158" s="10" t="s">
        <v>961</v>
      </c>
      <c r="F158" s="10" t="s">
        <v>13</v>
      </c>
      <c r="G158" s="15" t="s">
        <v>995</v>
      </c>
      <c r="H158" s="7">
        <f>CEILING((PRODUCT(180,USD)),10)</f>
        <v>13730</v>
      </c>
      <c r="I158" s="60"/>
      <c r="J158" s="25"/>
      <c r="L158" s="12" t="s">
        <v>1860</v>
      </c>
      <c r="M158" s="12" t="s">
        <v>1859</v>
      </c>
    </row>
    <row r="159" spans="1:13" ht="24.9" customHeight="1" x14ac:dyDescent="0.3">
      <c r="A159" s="147"/>
      <c r="B159" s="72" t="s">
        <v>1735</v>
      </c>
      <c r="C159" s="10" t="s">
        <v>99</v>
      </c>
      <c r="D159" s="10" t="s">
        <v>50</v>
      </c>
      <c r="E159" s="10" t="s">
        <v>961</v>
      </c>
      <c r="F159" s="10" t="s">
        <v>13</v>
      </c>
      <c r="G159" s="15" t="s">
        <v>995</v>
      </c>
      <c r="H159" s="7">
        <f>CEILING((PRODUCT(206,USD)),10)</f>
        <v>15710</v>
      </c>
      <c r="I159" s="60"/>
      <c r="J159" s="25"/>
      <c r="L159" s="12" t="s">
        <v>1860</v>
      </c>
      <c r="M159" s="12" t="s">
        <v>1859</v>
      </c>
    </row>
    <row r="160" spans="1:13" ht="24.9" customHeight="1" x14ac:dyDescent="0.3">
      <c r="A160" s="147"/>
      <c r="B160" s="72" t="s">
        <v>1736</v>
      </c>
      <c r="C160" s="10" t="s">
        <v>100</v>
      </c>
      <c r="D160" s="10" t="s">
        <v>50</v>
      </c>
      <c r="E160" s="10" t="s">
        <v>961</v>
      </c>
      <c r="F160" s="10" t="s">
        <v>13</v>
      </c>
      <c r="G160" s="15" t="s">
        <v>995</v>
      </c>
      <c r="H160" s="7">
        <f>CEILING((PRODUCT(222,USD)),10)</f>
        <v>16930</v>
      </c>
      <c r="I160" s="60"/>
      <c r="J160" s="25"/>
      <c r="L160" s="12" t="s">
        <v>1860</v>
      </c>
      <c r="M160" s="12" t="s">
        <v>1859</v>
      </c>
    </row>
    <row r="161" spans="1:13" ht="24.9" customHeight="1" x14ac:dyDescent="0.3">
      <c r="A161" s="147"/>
      <c r="B161" s="72" t="s">
        <v>1737</v>
      </c>
      <c r="C161" s="10" t="s">
        <v>58</v>
      </c>
      <c r="D161" s="10" t="s">
        <v>51</v>
      </c>
      <c r="E161" s="10" t="s">
        <v>961</v>
      </c>
      <c r="F161" s="10" t="s">
        <v>13</v>
      </c>
      <c r="G161" s="15" t="s">
        <v>995</v>
      </c>
      <c r="H161" s="7">
        <f>CEILING((PRODUCT(180,USD)),10)</f>
        <v>13730</v>
      </c>
      <c r="I161" s="60"/>
      <c r="J161" s="25"/>
      <c r="L161" s="12" t="s">
        <v>1860</v>
      </c>
      <c r="M161" s="12" t="s">
        <v>1859</v>
      </c>
    </row>
    <row r="162" spans="1:13" ht="24.9" customHeight="1" x14ac:dyDescent="0.3">
      <c r="A162" s="147"/>
      <c r="B162" s="72" t="s">
        <v>1738</v>
      </c>
      <c r="C162" s="10" t="s">
        <v>100</v>
      </c>
      <c r="D162" s="10" t="s">
        <v>51</v>
      </c>
      <c r="E162" s="10" t="s">
        <v>961</v>
      </c>
      <c r="F162" s="10" t="s">
        <v>13</v>
      </c>
      <c r="G162" s="15" t="s">
        <v>995</v>
      </c>
      <c r="H162" s="7">
        <f>CEILING((PRODUCT(180,USD)),10)</f>
        <v>13730</v>
      </c>
      <c r="I162" s="60"/>
      <c r="J162" s="25"/>
      <c r="L162" s="12" t="s">
        <v>1860</v>
      </c>
      <c r="M162" s="12" t="s">
        <v>1859</v>
      </c>
    </row>
    <row r="163" spans="1:13" ht="24.9" customHeight="1" x14ac:dyDescent="0.3">
      <c r="A163" s="147"/>
      <c r="B163" s="72" t="s">
        <v>1739</v>
      </c>
      <c r="C163" s="10" t="s">
        <v>1741</v>
      </c>
      <c r="D163" s="10" t="s">
        <v>51</v>
      </c>
      <c r="E163" s="10" t="s">
        <v>961</v>
      </c>
      <c r="F163" s="10" t="s">
        <v>13</v>
      </c>
      <c r="G163" s="15" t="s">
        <v>995</v>
      </c>
      <c r="H163" s="7">
        <f>CEILING((PRODUCT(180,USD)),10)</f>
        <v>13730</v>
      </c>
      <c r="I163" s="60"/>
      <c r="J163" s="25"/>
      <c r="L163" s="12" t="s">
        <v>1860</v>
      </c>
      <c r="M163" s="12" t="s">
        <v>1859</v>
      </c>
    </row>
    <row r="164" spans="1:13" ht="24.9" customHeight="1" x14ac:dyDescent="0.3">
      <c r="A164" s="147"/>
      <c r="B164" s="72" t="s">
        <v>1740</v>
      </c>
      <c r="C164" s="10" t="s">
        <v>161</v>
      </c>
      <c r="D164" s="10" t="s">
        <v>51</v>
      </c>
      <c r="E164" s="10" t="s">
        <v>961</v>
      </c>
      <c r="F164" s="10" t="s">
        <v>13</v>
      </c>
      <c r="G164" s="15" t="s">
        <v>995</v>
      </c>
      <c r="H164" s="7">
        <f>CEILING((PRODUCT(180,USD)),10)</f>
        <v>13730</v>
      </c>
      <c r="I164" s="60"/>
      <c r="J164" s="25"/>
      <c r="L164" s="12" t="s">
        <v>1860</v>
      </c>
      <c r="M164" s="12" t="s">
        <v>1859</v>
      </c>
    </row>
    <row r="165" spans="1:13" ht="20.100000000000001" customHeight="1" x14ac:dyDescent="0.3">
      <c r="A165" s="149"/>
      <c r="B165" s="149"/>
      <c r="C165" s="149"/>
      <c r="D165" s="149"/>
      <c r="E165" s="149"/>
      <c r="F165" s="149"/>
      <c r="G165" s="149"/>
      <c r="H165" s="149"/>
      <c r="I165" s="149"/>
      <c r="J165" s="149"/>
    </row>
    <row r="166" spans="1:13" ht="39.9" customHeight="1" x14ac:dyDescent="0.3">
      <c r="A166" s="139" t="s">
        <v>1667</v>
      </c>
      <c r="B166" s="140"/>
      <c r="C166" s="140"/>
      <c r="D166" s="140"/>
      <c r="E166" s="140"/>
      <c r="F166" s="140"/>
      <c r="G166" s="140"/>
      <c r="H166" s="140"/>
      <c r="I166" s="140"/>
      <c r="J166" s="140"/>
    </row>
    <row r="167" spans="1:13" ht="30" customHeight="1" x14ac:dyDescent="0.3">
      <c r="A167" s="49"/>
      <c r="B167" s="38" t="s">
        <v>2</v>
      </c>
      <c r="C167" s="4" t="s">
        <v>42</v>
      </c>
      <c r="D167" s="4" t="s">
        <v>43</v>
      </c>
      <c r="E167" s="38" t="s">
        <v>9</v>
      </c>
      <c r="F167" s="38" t="s">
        <v>10</v>
      </c>
      <c r="G167" s="4" t="s">
        <v>11</v>
      </c>
      <c r="H167" s="4" t="s">
        <v>17</v>
      </c>
      <c r="I167" s="4"/>
      <c r="J167" s="4"/>
    </row>
    <row r="168" spans="1:13" ht="24.9" customHeight="1" x14ac:dyDescent="0.3">
      <c r="A168" s="147"/>
      <c r="B168" s="72" t="s">
        <v>1187</v>
      </c>
      <c r="C168" s="49" t="s">
        <v>45</v>
      </c>
      <c r="D168" s="49" t="s">
        <v>48</v>
      </c>
      <c r="E168" s="49" t="s">
        <v>27</v>
      </c>
      <c r="F168" s="49" t="s">
        <v>13</v>
      </c>
      <c r="G168" s="15" t="s">
        <v>1199</v>
      </c>
      <c r="H168" s="7">
        <f>CEILING((PRODUCT(502,USD)),10)</f>
        <v>38280</v>
      </c>
      <c r="I168" s="8"/>
      <c r="J168" s="9"/>
      <c r="L168" s="12" t="s">
        <v>1708</v>
      </c>
    </row>
    <row r="169" spans="1:13" ht="24.9" customHeight="1" x14ac:dyDescent="0.3">
      <c r="A169" s="147"/>
      <c r="B169" s="72" t="s">
        <v>1188</v>
      </c>
      <c r="C169" s="49" t="s">
        <v>46</v>
      </c>
      <c r="D169" s="49" t="s">
        <v>48</v>
      </c>
      <c r="E169" s="49" t="s">
        <v>27</v>
      </c>
      <c r="F169" s="49" t="s">
        <v>13</v>
      </c>
      <c r="G169" s="15" t="s">
        <v>1199</v>
      </c>
      <c r="H169" s="7">
        <f>CEILING((PRODUCT(557,USD)),10)</f>
        <v>42480</v>
      </c>
      <c r="I169" s="8"/>
      <c r="J169" s="9"/>
      <c r="L169" s="12" t="s">
        <v>1708</v>
      </c>
    </row>
    <row r="170" spans="1:13" ht="24.9" customHeight="1" x14ac:dyDescent="0.3">
      <c r="A170" s="147"/>
      <c r="B170" s="72" t="s">
        <v>1189</v>
      </c>
      <c r="C170" s="49" t="s">
        <v>53</v>
      </c>
      <c r="D170" s="49" t="s">
        <v>49</v>
      </c>
      <c r="E170" s="49" t="s">
        <v>27</v>
      </c>
      <c r="F170" s="49" t="s">
        <v>13</v>
      </c>
      <c r="G170" s="15" t="s">
        <v>194</v>
      </c>
      <c r="H170" s="7">
        <f>CEILING((PRODUCT(387,USD)),10)</f>
        <v>29510</v>
      </c>
      <c r="I170" s="8"/>
      <c r="J170" s="9"/>
      <c r="L170" s="12" t="s">
        <v>1709</v>
      </c>
    </row>
    <row r="171" spans="1:13" ht="24.9" customHeight="1" x14ac:dyDescent="0.3">
      <c r="A171" s="147"/>
      <c r="B171" s="72" t="s">
        <v>1190</v>
      </c>
      <c r="C171" s="49" t="s">
        <v>53</v>
      </c>
      <c r="D171" s="49" t="s">
        <v>49</v>
      </c>
      <c r="E171" s="49" t="s">
        <v>27</v>
      </c>
      <c r="F171" s="49" t="s">
        <v>13</v>
      </c>
      <c r="G171" s="15" t="s">
        <v>194</v>
      </c>
      <c r="H171" s="7">
        <f>CEILING((PRODUCT(433,USD)),10)</f>
        <v>33020</v>
      </c>
      <c r="I171" s="8"/>
      <c r="J171" s="9"/>
      <c r="L171" s="12" t="s">
        <v>1709</v>
      </c>
    </row>
    <row r="172" spans="1:13" ht="24.9" customHeight="1" x14ac:dyDescent="0.3">
      <c r="A172" s="147"/>
      <c r="B172" s="72" t="s">
        <v>1191</v>
      </c>
      <c r="C172" s="49" t="s">
        <v>96</v>
      </c>
      <c r="D172" s="49" t="s">
        <v>49</v>
      </c>
      <c r="E172" s="49" t="s">
        <v>27</v>
      </c>
      <c r="F172" s="49" t="s">
        <v>13</v>
      </c>
      <c r="G172" s="15" t="s">
        <v>194</v>
      </c>
      <c r="H172" s="7">
        <f>CEILING((PRODUCT(446,USD)),10)</f>
        <v>34010</v>
      </c>
      <c r="I172" s="8"/>
      <c r="J172" s="9"/>
      <c r="L172" s="12" t="s">
        <v>1709</v>
      </c>
    </row>
    <row r="173" spans="1:13" ht="24.9" customHeight="1" x14ac:dyDescent="0.3">
      <c r="A173" s="147"/>
      <c r="B173" s="72" t="s">
        <v>1192</v>
      </c>
      <c r="C173" s="49" t="s">
        <v>57</v>
      </c>
      <c r="D173" s="49" t="s">
        <v>49</v>
      </c>
      <c r="E173" s="49" t="s">
        <v>27</v>
      </c>
      <c r="F173" s="49" t="s">
        <v>13</v>
      </c>
      <c r="G173" s="15" t="s">
        <v>104</v>
      </c>
      <c r="H173" s="7">
        <f>CEILING((PRODUCT(461,USD)),10)</f>
        <v>35160</v>
      </c>
      <c r="I173" s="8"/>
      <c r="J173" s="9"/>
      <c r="L173" s="12" t="s">
        <v>1709</v>
      </c>
    </row>
    <row r="174" spans="1:13" ht="24.9" customHeight="1" x14ac:dyDescent="0.3">
      <c r="A174" s="147"/>
      <c r="B174" s="72" t="s">
        <v>1193</v>
      </c>
      <c r="C174" s="49" t="s">
        <v>58</v>
      </c>
      <c r="D174" s="49" t="s">
        <v>49</v>
      </c>
      <c r="E174" s="49" t="s">
        <v>27</v>
      </c>
      <c r="F174" s="49" t="s">
        <v>13</v>
      </c>
      <c r="G174" s="15" t="s">
        <v>104</v>
      </c>
      <c r="H174" s="7">
        <f>CEILING((PRODUCT(510,USD)),10)</f>
        <v>38890</v>
      </c>
      <c r="I174" s="8"/>
      <c r="J174" s="9"/>
      <c r="L174" s="12" t="s">
        <v>1709</v>
      </c>
    </row>
    <row r="175" spans="1:13" ht="24.9" customHeight="1" x14ac:dyDescent="0.3">
      <c r="A175" s="147"/>
      <c r="B175" s="72" t="s">
        <v>1194</v>
      </c>
      <c r="C175" s="49" t="s">
        <v>53</v>
      </c>
      <c r="D175" s="49" t="s">
        <v>50</v>
      </c>
      <c r="E175" s="49" t="s">
        <v>224</v>
      </c>
      <c r="F175" s="49" t="s">
        <v>13</v>
      </c>
      <c r="G175" s="15" t="s">
        <v>194</v>
      </c>
      <c r="H175" s="7">
        <f>CEILING((PRODUCT(290,USD)),10)</f>
        <v>22120</v>
      </c>
      <c r="I175" s="8"/>
      <c r="J175" s="9"/>
      <c r="L175" s="12" t="s">
        <v>1709</v>
      </c>
    </row>
    <row r="176" spans="1:13" ht="24.9" customHeight="1" x14ac:dyDescent="0.3">
      <c r="A176" s="147"/>
      <c r="B176" s="72" t="s">
        <v>1195</v>
      </c>
      <c r="C176" s="49" t="s">
        <v>96</v>
      </c>
      <c r="D176" s="49" t="s">
        <v>50</v>
      </c>
      <c r="E176" s="49" t="s">
        <v>224</v>
      </c>
      <c r="F176" s="49" t="s">
        <v>13</v>
      </c>
      <c r="G176" s="15" t="s">
        <v>104</v>
      </c>
      <c r="H176" s="7">
        <f>CEILING((PRODUCT(304,USD)),10)</f>
        <v>23180</v>
      </c>
      <c r="I176" s="8"/>
      <c r="J176" s="9"/>
      <c r="L176" s="12" t="s">
        <v>1709</v>
      </c>
    </row>
    <row r="177" spans="1:12" ht="24.9" customHeight="1" x14ac:dyDescent="0.3">
      <c r="A177" s="147"/>
      <c r="B177" s="72" t="s">
        <v>1196</v>
      </c>
      <c r="C177" s="49" t="s">
        <v>58</v>
      </c>
      <c r="D177" s="49" t="s">
        <v>50</v>
      </c>
      <c r="E177" s="49" t="s">
        <v>27</v>
      </c>
      <c r="F177" s="49" t="s">
        <v>13</v>
      </c>
      <c r="G177" s="15" t="s">
        <v>104</v>
      </c>
      <c r="H177" s="7">
        <f>CEILING((PRODUCT(337,USD)),10)</f>
        <v>25700</v>
      </c>
      <c r="I177" s="8"/>
      <c r="J177" s="9"/>
      <c r="L177" s="12" t="s">
        <v>1709</v>
      </c>
    </row>
    <row r="178" spans="1:12" ht="24.9" customHeight="1" x14ac:dyDescent="0.3">
      <c r="A178" s="147"/>
      <c r="B178" s="72" t="s">
        <v>1197</v>
      </c>
      <c r="C178" s="49" t="s">
        <v>100</v>
      </c>
      <c r="D178" s="49" t="s">
        <v>50</v>
      </c>
      <c r="E178" s="49" t="s">
        <v>27</v>
      </c>
      <c r="F178" s="49" t="s">
        <v>13</v>
      </c>
      <c r="G178" s="15" t="s">
        <v>104</v>
      </c>
      <c r="H178" s="7">
        <f>CEILING((PRODUCT(446,USD)),10)</f>
        <v>34010</v>
      </c>
      <c r="I178" s="8"/>
      <c r="J178" s="9"/>
      <c r="L178" s="12" t="s">
        <v>1709</v>
      </c>
    </row>
    <row r="179" spans="1:12" ht="24.9" customHeight="1" x14ac:dyDescent="0.3">
      <c r="A179" s="147"/>
      <c r="B179" s="72" t="s">
        <v>1198</v>
      </c>
      <c r="C179" s="49" t="s">
        <v>101</v>
      </c>
      <c r="D179" s="49" t="s">
        <v>51</v>
      </c>
      <c r="E179" s="49" t="s">
        <v>224</v>
      </c>
      <c r="F179" s="49" t="s">
        <v>13</v>
      </c>
      <c r="G179" s="15" t="s">
        <v>104</v>
      </c>
      <c r="H179" s="7">
        <f>CEILING((PRODUCT(334,USD)),10)</f>
        <v>25470</v>
      </c>
      <c r="I179" s="8"/>
      <c r="J179" s="9"/>
      <c r="L179" s="12" t="s">
        <v>1709</v>
      </c>
    </row>
    <row r="180" spans="1:12" ht="20.100000000000001" customHeight="1" x14ac:dyDescent="0.3">
      <c r="A180" s="149"/>
      <c r="B180" s="149"/>
      <c r="C180" s="149"/>
      <c r="D180" s="149"/>
      <c r="E180" s="149"/>
      <c r="F180" s="149"/>
      <c r="G180" s="149"/>
      <c r="H180" s="149"/>
      <c r="I180" s="149"/>
      <c r="J180" s="149"/>
    </row>
    <row r="181" spans="1:12" ht="39.9" customHeight="1" x14ac:dyDescent="0.3">
      <c r="A181" s="139" t="s">
        <v>1668</v>
      </c>
      <c r="B181" s="140"/>
      <c r="C181" s="140"/>
      <c r="D181" s="140"/>
      <c r="E181" s="140"/>
      <c r="F181" s="140"/>
      <c r="G181" s="140"/>
      <c r="H181" s="140"/>
      <c r="I181" s="140"/>
      <c r="J181" s="140"/>
    </row>
    <row r="182" spans="1:12" ht="30" customHeight="1" x14ac:dyDescent="0.3">
      <c r="A182" s="49"/>
      <c r="B182" s="38" t="s">
        <v>2</v>
      </c>
      <c r="C182" s="4" t="s">
        <v>42</v>
      </c>
      <c r="D182" s="4" t="s">
        <v>43</v>
      </c>
      <c r="E182" s="38" t="s">
        <v>9</v>
      </c>
      <c r="F182" s="38" t="s">
        <v>10</v>
      </c>
      <c r="G182" s="4" t="s">
        <v>11</v>
      </c>
      <c r="H182" s="4" t="s">
        <v>17</v>
      </c>
      <c r="I182" s="4"/>
      <c r="J182" s="4"/>
    </row>
    <row r="183" spans="1:12" ht="24.9" customHeight="1" x14ac:dyDescent="0.3">
      <c r="A183" s="147"/>
      <c r="B183" s="72" t="s">
        <v>1200</v>
      </c>
      <c r="C183" s="49" t="s">
        <v>45</v>
      </c>
      <c r="D183" s="49" t="s">
        <v>48</v>
      </c>
      <c r="E183" s="49" t="s">
        <v>27</v>
      </c>
      <c r="F183" s="49" t="s">
        <v>13</v>
      </c>
      <c r="G183" s="15" t="s">
        <v>1199</v>
      </c>
      <c r="H183" s="7">
        <f>CEILING((PRODUCT(390,USD)),10)</f>
        <v>29740</v>
      </c>
      <c r="I183" s="8"/>
      <c r="J183" s="9"/>
      <c r="L183" s="12" t="s">
        <v>1708</v>
      </c>
    </row>
    <row r="184" spans="1:12" ht="24.9" customHeight="1" x14ac:dyDescent="0.3">
      <c r="A184" s="147"/>
      <c r="B184" s="72" t="s">
        <v>1201</v>
      </c>
      <c r="C184" s="49" t="s">
        <v>46</v>
      </c>
      <c r="D184" s="49" t="s">
        <v>48</v>
      </c>
      <c r="E184" s="49" t="s">
        <v>27</v>
      </c>
      <c r="F184" s="49" t="s">
        <v>13</v>
      </c>
      <c r="G184" s="15" t="s">
        <v>1199</v>
      </c>
      <c r="H184" s="7">
        <f>CEILING((PRODUCT(446,USD)),10)</f>
        <v>34010</v>
      </c>
      <c r="I184" s="8"/>
      <c r="J184" s="9"/>
      <c r="L184" s="12" t="s">
        <v>1708</v>
      </c>
    </row>
    <row r="185" spans="1:12" ht="24.9" customHeight="1" x14ac:dyDescent="0.3">
      <c r="A185" s="147"/>
      <c r="B185" s="72" t="s">
        <v>1202</v>
      </c>
      <c r="C185" s="51" t="s">
        <v>46</v>
      </c>
      <c r="D185" s="49" t="s">
        <v>49</v>
      </c>
      <c r="E185" s="49" t="s">
        <v>27</v>
      </c>
      <c r="F185" s="49" t="s">
        <v>13</v>
      </c>
      <c r="G185" s="15" t="s">
        <v>194</v>
      </c>
      <c r="H185" s="7">
        <f>CEILING((PRODUCT(290,USD)),10)</f>
        <v>22120</v>
      </c>
      <c r="I185" s="8"/>
      <c r="J185" s="9"/>
      <c r="L185" s="12" t="s">
        <v>1709</v>
      </c>
    </row>
    <row r="186" spans="1:12" ht="24.9" customHeight="1" x14ac:dyDescent="0.3">
      <c r="A186" s="147"/>
      <c r="B186" s="72" t="s">
        <v>1203</v>
      </c>
      <c r="C186" s="49" t="s">
        <v>53</v>
      </c>
      <c r="D186" s="49" t="s">
        <v>49</v>
      </c>
      <c r="E186" s="49" t="s">
        <v>27</v>
      </c>
      <c r="F186" s="49" t="s">
        <v>13</v>
      </c>
      <c r="G186" s="15" t="s">
        <v>194</v>
      </c>
      <c r="H186" s="7">
        <f>CEILING((PRODUCT(340,USD)),10)</f>
        <v>25930</v>
      </c>
      <c r="I186" s="8"/>
      <c r="J186" s="9"/>
      <c r="L186" s="12" t="s">
        <v>1709</v>
      </c>
    </row>
    <row r="187" spans="1:12" ht="24.9" customHeight="1" x14ac:dyDescent="0.3">
      <c r="A187" s="147"/>
      <c r="B187" s="72" t="s">
        <v>1204</v>
      </c>
      <c r="C187" s="49" t="s">
        <v>96</v>
      </c>
      <c r="D187" s="49" t="s">
        <v>49</v>
      </c>
      <c r="E187" s="49" t="s">
        <v>27</v>
      </c>
      <c r="F187" s="49" t="s">
        <v>13</v>
      </c>
      <c r="G187" s="15" t="s">
        <v>194</v>
      </c>
      <c r="H187" s="7">
        <f>CEILING((PRODUCT(390,USD)),10)</f>
        <v>29740</v>
      </c>
      <c r="I187" s="8"/>
      <c r="J187" s="9"/>
      <c r="L187" s="12" t="s">
        <v>1709</v>
      </c>
    </row>
    <row r="188" spans="1:12" ht="24.9" customHeight="1" x14ac:dyDescent="0.3">
      <c r="A188" s="147"/>
      <c r="B188" s="72" t="s">
        <v>1205</v>
      </c>
      <c r="C188" s="49" t="s">
        <v>57</v>
      </c>
      <c r="D188" s="49" t="s">
        <v>49</v>
      </c>
      <c r="E188" s="49" t="s">
        <v>27</v>
      </c>
      <c r="F188" s="49" t="s">
        <v>13</v>
      </c>
      <c r="G188" s="15" t="s">
        <v>104</v>
      </c>
      <c r="H188" s="7">
        <f>CEILING((PRODUCT(429,USD)),10)</f>
        <v>32720</v>
      </c>
      <c r="I188" s="8"/>
      <c r="J188" s="9"/>
      <c r="L188" s="12" t="s">
        <v>1709</v>
      </c>
    </row>
    <row r="189" spans="1:12" ht="24.9" customHeight="1" x14ac:dyDescent="0.3">
      <c r="A189" s="147"/>
      <c r="B189" s="72" t="s">
        <v>1206</v>
      </c>
      <c r="C189" s="49" t="s">
        <v>58</v>
      </c>
      <c r="D189" s="49" t="s">
        <v>49</v>
      </c>
      <c r="E189" s="49" t="s">
        <v>27</v>
      </c>
      <c r="F189" s="49" t="s">
        <v>13</v>
      </c>
      <c r="G189" s="15" t="s">
        <v>104</v>
      </c>
      <c r="H189" s="7">
        <f>CEILING((PRODUCT(468,USD)),10)</f>
        <v>35690</v>
      </c>
      <c r="I189" s="8"/>
      <c r="J189" s="9"/>
      <c r="L189" s="12" t="s">
        <v>1709</v>
      </c>
    </row>
    <row r="190" spans="1:12" ht="24.9" customHeight="1" x14ac:dyDescent="0.3">
      <c r="A190" s="147"/>
      <c r="B190" s="72" t="s">
        <v>1207</v>
      </c>
      <c r="C190" s="49" t="s">
        <v>53</v>
      </c>
      <c r="D190" s="49" t="s">
        <v>50</v>
      </c>
      <c r="E190" s="49" t="s">
        <v>224</v>
      </c>
      <c r="F190" s="49" t="s">
        <v>13</v>
      </c>
      <c r="G190" s="15" t="s">
        <v>194</v>
      </c>
      <c r="H190" s="7">
        <f>CEILING((PRODUCT(194,USD)),10)</f>
        <v>14800</v>
      </c>
      <c r="I190" s="8"/>
      <c r="J190" s="9"/>
      <c r="L190" s="12" t="s">
        <v>1709</v>
      </c>
    </row>
    <row r="191" spans="1:12" ht="24.9" customHeight="1" x14ac:dyDescent="0.3">
      <c r="A191" s="147"/>
      <c r="B191" s="72" t="s">
        <v>1208</v>
      </c>
      <c r="C191" s="49" t="s">
        <v>96</v>
      </c>
      <c r="D191" s="49" t="s">
        <v>50</v>
      </c>
      <c r="E191" s="49" t="s">
        <v>224</v>
      </c>
      <c r="F191" s="49" t="s">
        <v>13</v>
      </c>
      <c r="G191" s="15" t="s">
        <v>104</v>
      </c>
      <c r="H191" s="7">
        <f>CEILING((PRODUCT(204,USD)),10)</f>
        <v>15560</v>
      </c>
      <c r="I191" s="8"/>
      <c r="J191" s="9"/>
      <c r="L191" s="12" t="s">
        <v>1709</v>
      </c>
    </row>
    <row r="192" spans="1:12" ht="24.9" customHeight="1" x14ac:dyDescent="0.3">
      <c r="A192" s="147"/>
      <c r="B192" s="72" t="s">
        <v>1209</v>
      </c>
      <c r="C192" s="49" t="s">
        <v>58</v>
      </c>
      <c r="D192" s="49" t="s">
        <v>50</v>
      </c>
      <c r="E192" s="49" t="s">
        <v>27</v>
      </c>
      <c r="F192" s="49" t="s">
        <v>13</v>
      </c>
      <c r="G192" s="15" t="s">
        <v>104</v>
      </c>
      <c r="H192" s="7">
        <f>CEILING((PRODUCT(261,USD)),10)</f>
        <v>19910</v>
      </c>
      <c r="I192" s="8"/>
      <c r="J192" s="9"/>
      <c r="L192" s="12" t="s">
        <v>1709</v>
      </c>
    </row>
    <row r="193" spans="1:13" ht="24.9" customHeight="1" x14ac:dyDescent="0.3">
      <c r="A193" s="147"/>
      <c r="B193" s="72" t="s">
        <v>1210</v>
      </c>
      <c r="C193" s="49" t="s">
        <v>100</v>
      </c>
      <c r="D193" s="49" t="s">
        <v>50</v>
      </c>
      <c r="E193" s="49" t="s">
        <v>27</v>
      </c>
      <c r="F193" s="49" t="s">
        <v>13</v>
      </c>
      <c r="G193" s="15" t="s">
        <v>104</v>
      </c>
      <c r="H193" s="7">
        <f>CEILING((PRODUCT(390,USD)),10)</f>
        <v>29740</v>
      </c>
      <c r="I193" s="8"/>
      <c r="J193" s="9"/>
      <c r="L193" s="12" t="s">
        <v>1709</v>
      </c>
    </row>
    <row r="194" spans="1:13" ht="24.9" customHeight="1" x14ac:dyDescent="0.3">
      <c r="A194" s="147"/>
      <c r="B194" s="72" t="s">
        <v>1211</v>
      </c>
      <c r="C194" s="49" t="s">
        <v>101</v>
      </c>
      <c r="D194" s="49" t="s">
        <v>51</v>
      </c>
      <c r="E194" s="49" t="s">
        <v>224</v>
      </c>
      <c r="F194" s="49" t="s">
        <v>13</v>
      </c>
      <c r="G194" s="15" t="s">
        <v>104</v>
      </c>
      <c r="H194" s="7">
        <f>CEILING((PRODUCT(223,USD)),10)</f>
        <v>17010</v>
      </c>
      <c r="I194" s="8"/>
      <c r="J194" s="9"/>
      <c r="L194" s="12" t="s">
        <v>1709</v>
      </c>
    </row>
    <row r="195" spans="1:13" ht="20.100000000000001" customHeight="1" x14ac:dyDescent="0.3">
      <c r="A195" s="149"/>
      <c r="B195" s="149"/>
      <c r="C195" s="149"/>
      <c r="D195" s="149"/>
      <c r="E195" s="149"/>
      <c r="F195" s="149"/>
      <c r="G195" s="149"/>
      <c r="H195" s="149"/>
      <c r="I195" s="149"/>
      <c r="J195" s="149"/>
    </row>
    <row r="196" spans="1:13" ht="39.9" customHeight="1" x14ac:dyDescent="0.3">
      <c r="A196" s="139" t="s">
        <v>1669</v>
      </c>
      <c r="B196" s="140"/>
      <c r="C196" s="140"/>
      <c r="D196" s="140"/>
      <c r="E196" s="140"/>
      <c r="F196" s="140"/>
      <c r="G196" s="140"/>
      <c r="H196" s="140"/>
      <c r="I196" s="140"/>
      <c r="J196" s="140"/>
    </row>
    <row r="197" spans="1:13" ht="30" customHeight="1" x14ac:dyDescent="0.3">
      <c r="A197" s="50"/>
      <c r="B197" s="38" t="s">
        <v>2</v>
      </c>
      <c r="C197" s="4" t="s">
        <v>42</v>
      </c>
      <c r="D197" s="4" t="s">
        <v>43</v>
      </c>
      <c r="E197" s="38" t="s">
        <v>9</v>
      </c>
      <c r="F197" s="38" t="s">
        <v>10</v>
      </c>
      <c r="G197" s="4" t="s">
        <v>11</v>
      </c>
      <c r="H197" s="4" t="s">
        <v>17</v>
      </c>
      <c r="I197" s="4"/>
      <c r="J197" s="4"/>
    </row>
    <row r="198" spans="1:13" ht="24.9" customHeight="1" x14ac:dyDescent="0.3">
      <c r="A198" s="147"/>
      <c r="B198" s="72" t="s">
        <v>1212</v>
      </c>
      <c r="C198" s="50" t="s">
        <v>1224</v>
      </c>
      <c r="D198" s="50" t="s">
        <v>1225</v>
      </c>
      <c r="E198" s="50" t="s">
        <v>27</v>
      </c>
      <c r="F198" s="50" t="s">
        <v>15</v>
      </c>
      <c r="G198" s="15" t="s">
        <v>1199</v>
      </c>
      <c r="H198" s="7">
        <f>CEILING((PRODUCT(502,USD)),10)</f>
        <v>38280</v>
      </c>
      <c r="I198" s="8"/>
      <c r="J198" s="9"/>
    </row>
    <row r="199" spans="1:13" ht="24.9" customHeight="1" x14ac:dyDescent="0.3">
      <c r="A199" s="147"/>
      <c r="B199" s="72" t="s">
        <v>1213</v>
      </c>
      <c r="C199" s="50" t="s">
        <v>1224</v>
      </c>
      <c r="D199" s="50" t="s">
        <v>1225</v>
      </c>
      <c r="E199" s="50" t="s">
        <v>27</v>
      </c>
      <c r="F199" s="50" t="s">
        <v>13</v>
      </c>
      <c r="G199" s="15" t="s">
        <v>1199</v>
      </c>
      <c r="H199" s="7">
        <f>CEILING((PRODUCT(446,USD)),10)</f>
        <v>34010</v>
      </c>
      <c r="I199" s="8"/>
      <c r="J199" s="9"/>
    </row>
    <row r="200" spans="1:13" ht="24.9" customHeight="1" x14ac:dyDescent="0.3">
      <c r="A200" s="147"/>
      <c r="B200" s="72" t="s">
        <v>1214</v>
      </c>
      <c r="C200" s="50" t="s">
        <v>52</v>
      </c>
      <c r="D200" s="50" t="s">
        <v>49</v>
      </c>
      <c r="E200" s="50" t="s">
        <v>27</v>
      </c>
      <c r="F200" s="50" t="s">
        <v>13</v>
      </c>
      <c r="G200" s="15" t="s">
        <v>194</v>
      </c>
      <c r="H200" s="7">
        <f>CEILING((PRODUCT(373,USD)),10)</f>
        <v>28450</v>
      </c>
      <c r="I200" s="8"/>
      <c r="J200" s="9"/>
    </row>
    <row r="201" spans="1:13" ht="24.9" customHeight="1" x14ac:dyDescent="0.3">
      <c r="A201" s="147"/>
      <c r="B201" s="72" t="s">
        <v>1215</v>
      </c>
      <c r="C201" s="50" t="s">
        <v>96</v>
      </c>
      <c r="D201" s="50" t="s">
        <v>49</v>
      </c>
      <c r="E201" s="50" t="s">
        <v>27</v>
      </c>
      <c r="F201" s="50" t="s">
        <v>15</v>
      </c>
      <c r="G201" s="15" t="s">
        <v>194</v>
      </c>
      <c r="H201" s="7">
        <f>CEILING((PRODUCT(432,USD)),10)</f>
        <v>32940</v>
      </c>
      <c r="I201" s="8"/>
      <c r="J201" s="9"/>
    </row>
    <row r="202" spans="1:13" ht="24.9" customHeight="1" x14ac:dyDescent="0.3">
      <c r="A202" s="147"/>
      <c r="B202" s="72" t="s">
        <v>1216</v>
      </c>
      <c r="C202" s="50" t="s">
        <v>96</v>
      </c>
      <c r="D202" s="50" t="s">
        <v>49</v>
      </c>
      <c r="E202" s="50" t="s">
        <v>27</v>
      </c>
      <c r="F202" s="50" t="s">
        <v>13</v>
      </c>
      <c r="G202" s="15" t="s">
        <v>194</v>
      </c>
      <c r="H202" s="7">
        <f>CEILING((PRODUCT(400,USD)),10)</f>
        <v>30500</v>
      </c>
      <c r="I202" s="8"/>
      <c r="J202" s="9"/>
    </row>
    <row r="203" spans="1:13" ht="24.9" customHeight="1" x14ac:dyDescent="0.3">
      <c r="A203" s="147"/>
      <c r="B203" s="72" t="s">
        <v>1217</v>
      </c>
      <c r="C203" s="50" t="s">
        <v>179</v>
      </c>
      <c r="D203" s="50" t="s">
        <v>49</v>
      </c>
      <c r="E203" s="50" t="s">
        <v>27</v>
      </c>
      <c r="F203" s="50" t="s">
        <v>15</v>
      </c>
      <c r="G203" s="15" t="s">
        <v>104</v>
      </c>
      <c r="H203" s="7">
        <f>CEILING((PRODUCT(485,USD)),10)</f>
        <v>36990</v>
      </c>
      <c r="I203" s="8"/>
      <c r="J203" s="9"/>
      <c r="L203" s="12" t="s">
        <v>1708</v>
      </c>
    </row>
    <row r="204" spans="1:13" ht="24.9" customHeight="1" x14ac:dyDescent="0.3">
      <c r="A204" s="147"/>
      <c r="B204" s="72" t="s">
        <v>1218</v>
      </c>
      <c r="C204" s="50" t="s">
        <v>179</v>
      </c>
      <c r="D204" s="50" t="s">
        <v>49</v>
      </c>
      <c r="E204" s="50" t="s">
        <v>27</v>
      </c>
      <c r="F204" s="50" t="s">
        <v>13</v>
      </c>
      <c r="G204" s="15" t="s">
        <v>104</v>
      </c>
      <c r="H204" s="7">
        <f>CEILING((PRODUCT(440,USD)),10)</f>
        <v>33550</v>
      </c>
      <c r="I204" s="8"/>
      <c r="J204" s="9"/>
    </row>
    <row r="205" spans="1:13" ht="24.9" customHeight="1" x14ac:dyDescent="0.3">
      <c r="A205" s="147"/>
      <c r="B205" s="72" t="s">
        <v>1219</v>
      </c>
      <c r="C205" s="50" t="s">
        <v>96</v>
      </c>
      <c r="D205" s="50" t="s">
        <v>50</v>
      </c>
      <c r="E205" s="50" t="s">
        <v>224</v>
      </c>
      <c r="F205" s="50" t="s">
        <v>13</v>
      </c>
      <c r="G205" s="15" t="s">
        <v>104</v>
      </c>
      <c r="H205" s="7">
        <f>CEILING((PRODUCT(220,USD)),10)</f>
        <v>16780</v>
      </c>
      <c r="I205" s="8"/>
      <c r="J205" s="9"/>
    </row>
    <row r="206" spans="1:13" ht="24.9" customHeight="1" x14ac:dyDescent="0.3">
      <c r="A206" s="147"/>
      <c r="B206" s="72" t="s">
        <v>1220</v>
      </c>
      <c r="C206" s="50" t="s">
        <v>98</v>
      </c>
      <c r="D206" s="50" t="s">
        <v>50</v>
      </c>
      <c r="E206" s="50" t="s">
        <v>27</v>
      </c>
      <c r="F206" s="50" t="s">
        <v>13</v>
      </c>
      <c r="G206" s="15" t="s">
        <v>104</v>
      </c>
      <c r="H206" s="7">
        <f>CEILING((PRODUCT(335,USD)),10)</f>
        <v>25550</v>
      </c>
      <c r="I206" s="8"/>
      <c r="J206" s="9"/>
    </row>
    <row r="207" spans="1:13" ht="24.9" customHeight="1" x14ac:dyDescent="0.3">
      <c r="A207" s="147"/>
      <c r="B207" s="72" t="s">
        <v>1221</v>
      </c>
      <c r="C207" s="50" t="s">
        <v>100</v>
      </c>
      <c r="D207" s="50" t="s">
        <v>50</v>
      </c>
      <c r="E207" s="50" t="s">
        <v>27</v>
      </c>
      <c r="F207" s="50" t="s">
        <v>15</v>
      </c>
      <c r="G207" s="15" t="s">
        <v>104</v>
      </c>
      <c r="H207" s="7">
        <f>CEILING((PRODUCT(435,USD)),10)</f>
        <v>33170</v>
      </c>
      <c r="I207" s="8"/>
      <c r="J207" s="9"/>
      <c r="L207" s="12" t="s">
        <v>1995</v>
      </c>
      <c r="M207" s="12">
        <v>2.2000000000000002</v>
      </c>
    </row>
    <row r="208" spans="1:13" ht="24.9" customHeight="1" x14ac:dyDescent="0.3">
      <c r="A208" s="147"/>
      <c r="B208" s="72" t="s">
        <v>1222</v>
      </c>
      <c r="C208" s="50" t="s">
        <v>100</v>
      </c>
      <c r="D208" s="50" t="s">
        <v>50</v>
      </c>
      <c r="E208" s="50" t="s">
        <v>27</v>
      </c>
      <c r="F208" s="50" t="s">
        <v>13</v>
      </c>
      <c r="G208" s="15" t="s">
        <v>104</v>
      </c>
      <c r="H208" s="7">
        <f>CEILING((PRODUCT(401,USD)),10)</f>
        <v>30580</v>
      </c>
      <c r="I208" s="8"/>
      <c r="J208" s="9"/>
      <c r="L208" s="12" t="s">
        <v>1995</v>
      </c>
      <c r="M208" s="12">
        <v>2.2000000000000002</v>
      </c>
    </row>
    <row r="209" spans="1:13" ht="24.9" customHeight="1" x14ac:dyDescent="0.3">
      <c r="A209" s="147"/>
      <c r="B209" s="72" t="s">
        <v>1223</v>
      </c>
      <c r="C209" s="50" t="s">
        <v>101</v>
      </c>
      <c r="D209" s="50" t="s">
        <v>51</v>
      </c>
      <c r="E209" s="50" t="s">
        <v>224</v>
      </c>
      <c r="F209" s="50" t="s">
        <v>13</v>
      </c>
      <c r="G209" s="15" t="s">
        <v>104</v>
      </c>
      <c r="H209" s="7">
        <f>CEILING((PRODUCT(290,USD)),10)</f>
        <v>22120</v>
      </c>
      <c r="I209" s="8"/>
      <c r="J209" s="9"/>
      <c r="L209" s="12" t="s">
        <v>1995</v>
      </c>
      <c r="M209" s="12">
        <v>2.2000000000000002</v>
      </c>
    </row>
    <row r="210" spans="1:13" ht="20.100000000000001" customHeight="1" x14ac:dyDescent="0.3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</row>
    <row r="211" spans="1:13" ht="39.9" customHeight="1" x14ac:dyDescent="0.3">
      <c r="A211" s="139" t="s">
        <v>1745</v>
      </c>
      <c r="B211" s="140"/>
      <c r="C211" s="140"/>
      <c r="D211" s="140"/>
      <c r="E211" s="140"/>
      <c r="F211" s="140"/>
      <c r="G211" s="140"/>
      <c r="H211" s="140"/>
      <c r="I211" s="140"/>
      <c r="J211" s="140"/>
    </row>
    <row r="212" spans="1:13" ht="30" customHeight="1" x14ac:dyDescent="0.3">
      <c r="A212" s="117"/>
      <c r="B212" s="38" t="s">
        <v>2</v>
      </c>
      <c r="C212" s="4" t="s">
        <v>42</v>
      </c>
      <c r="D212" s="4" t="s">
        <v>43</v>
      </c>
      <c r="E212" s="38" t="s">
        <v>9</v>
      </c>
      <c r="F212" s="38" t="s">
        <v>10</v>
      </c>
      <c r="G212" s="4" t="s">
        <v>11</v>
      </c>
      <c r="H212" s="4" t="s">
        <v>17</v>
      </c>
      <c r="I212" s="4"/>
      <c r="J212" s="4"/>
    </row>
    <row r="213" spans="1:13" ht="24.9" customHeight="1" x14ac:dyDescent="0.3">
      <c r="A213" s="147"/>
      <c r="B213" s="72" t="s">
        <v>1746</v>
      </c>
      <c r="C213" s="117" t="s">
        <v>46</v>
      </c>
      <c r="D213" s="117" t="s">
        <v>50</v>
      </c>
      <c r="E213" s="117" t="s">
        <v>187</v>
      </c>
      <c r="F213" s="117" t="s">
        <v>13</v>
      </c>
      <c r="G213" s="15" t="s">
        <v>1751</v>
      </c>
      <c r="H213" s="7">
        <f>CEILING((PRODUCT(63,USD)),10)</f>
        <v>4810</v>
      </c>
      <c r="I213" s="8"/>
      <c r="J213" s="9"/>
      <c r="L213" s="12" t="s">
        <v>1813</v>
      </c>
      <c r="M213" s="12" t="s">
        <v>1752</v>
      </c>
    </row>
    <row r="214" spans="1:13" ht="24.9" customHeight="1" x14ac:dyDescent="0.3">
      <c r="A214" s="147"/>
      <c r="B214" s="72" t="s">
        <v>1747</v>
      </c>
      <c r="C214" s="117" t="s">
        <v>96</v>
      </c>
      <c r="D214" s="117" t="s">
        <v>50</v>
      </c>
      <c r="E214" s="117" t="s">
        <v>187</v>
      </c>
      <c r="F214" s="117" t="s">
        <v>13</v>
      </c>
      <c r="G214" s="15" t="s">
        <v>1751</v>
      </c>
      <c r="H214" s="7">
        <f>CEILING((PRODUCT(74,USD)),10)</f>
        <v>5650</v>
      </c>
      <c r="I214" s="8"/>
      <c r="J214" s="9"/>
      <c r="L214" s="12" t="s">
        <v>1813</v>
      </c>
      <c r="M214" s="12" t="s">
        <v>1752</v>
      </c>
    </row>
    <row r="215" spans="1:13" ht="24.9" customHeight="1" x14ac:dyDescent="0.3">
      <c r="A215" s="147"/>
      <c r="B215" s="72" t="s">
        <v>1748</v>
      </c>
      <c r="C215" s="117" t="s">
        <v>57</v>
      </c>
      <c r="D215" s="117" t="s">
        <v>50</v>
      </c>
      <c r="E215" s="117" t="s">
        <v>187</v>
      </c>
      <c r="F215" s="117" t="s">
        <v>13</v>
      </c>
      <c r="G215" s="15" t="s">
        <v>1751</v>
      </c>
      <c r="H215" s="7">
        <f>CEILING((PRODUCT(81,USD)),10)</f>
        <v>6180</v>
      </c>
      <c r="I215" s="8"/>
      <c r="J215" s="9"/>
      <c r="L215" s="12" t="s">
        <v>1813</v>
      </c>
      <c r="M215" s="12" t="s">
        <v>1752</v>
      </c>
    </row>
    <row r="216" spans="1:13" ht="24.9" customHeight="1" x14ac:dyDescent="0.3">
      <c r="A216" s="147"/>
      <c r="B216" s="72" t="s">
        <v>1749</v>
      </c>
      <c r="C216" s="117" t="s">
        <v>58</v>
      </c>
      <c r="D216" s="117" t="s">
        <v>51</v>
      </c>
      <c r="E216" s="117" t="s">
        <v>187</v>
      </c>
      <c r="F216" s="117" t="s">
        <v>13</v>
      </c>
      <c r="G216" s="15" t="s">
        <v>1751</v>
      </c>
      <c r="H216" s="7">
        <f>CEILING((PRODUCT(63,USD)),10)</f>
        <v>4810</v>
      </c>
      <c r="I216" s="8"/>
      <c r="J216" s="9"/>
      <c r="L216" s="12" t="s">
        <v>1813</v>
      </c>
      <c r="M216" s="12" t="s">
        <v>1752</v>
      </c>
    </row>
    <row r="217" spans="1:13" ht="24.9" customHeight="1" x14ac:dyDescent="0.3">
      <c r="A217" s="147"/>
      <c r="B217" s="72" t="s">
        <v>1750</v>
      </c>
      <c r="C217" s="117" t="s">
        <v>384</v>
      </c>
      <c r="D217" s="117" t="s">
        <v>51</v>
      </c>
      <c r="E217" s="117" t="s">
        <v>187</v>
      </c>
      <c r="F217" s="117" t="s">
        <v>13</v>
      </c>
      <c r="G217" s="15" t="s">
        <v>1751</v>
      </c>
      <c r="H217" s="7">
        <f>CEILING((PRODUCT(63,USD)),10)</f>
        <v>4810</v>
      </c>
      <c r="I217" s="8"/>
      <c r="J217" s="9"/>
      <c r="L217" s="12" t="s">
        <v>1813</v>
      </c>
      <c r="M217" s="12" t="s">
        <v>1752</v>
      </c>
    </row>
    <row r="218" spans="1:13" ht="20.100000000000001" customHeight="1" x14ac:dyDescent="0.3">
      <c r="A218" s="149"/>
      <c r="B218" s="149"/>
      <c r="C218" s="149"/>
      <c r="D218" s="149"/>
      <c r="E218" s="149"/>
      <c r="F218" s="149"/>
      <c r="G218" s="149"/>
      <c r="H218" s="149"/>
      <c r="I218" s="149"/>
      <c r="J218" s="149"/>
    </row>
    <row r="219" spans="1:13" ht="39.9" customHeight="1" x14ac:dyDescent="0.3">
      <c r="A219" s="139" t="s">
        <v>1753</v>
      </c>
      <c r="B219" s="140"/>
      <c r="C219" s="140"/>
      <c r="D219" s="140"/>
      <c r="E219" s="140"/>
      <c r="F219" s="140"/>
      <c r="G219" s="140"/>
      <c r="H219" s="140"/>
      <c r="I219" s="140"/>
      <c r="J219" s="140"/>
    </row>
    <row r="220" spans="1:13" ht="30" customHeight="1" x14ac:dyDescent="0.3">
      <c r="A220" s="117"/>
      <c r="B220" s="38" t="s">
        <v>2</v>
      </c>
      <c r="C220" s="4" t="s">
        <v>42</v>
      </c>
      <c r="D220" s="4" t="s">
        <v>43</v>
      </c>
      <c r="E220" s="38" t="s">
        <v>9</v>
      </c>
      <c r="F220" s="38" t="s">
        <v>10</v>
      </c>
      <c r="G220" s="4" t="s">
        <v>11</v>
      </c>
      <c r="H220" s="4" t="s">
        <v>17</v>
      </c>
      <c r="I220" s="4"/>
      <c r="J220" s="4"/>
    </row>
    <row r="221" spans="1:13" ht="30" customHeight="1" x14ac:dyDescent="0.3">
      <c r="A221" s="147"/>
      <c r="B221" s="72" t="s">
        <v>1754</v>
      </c>
      <c r="C221" s="117" t="s">
        <v>46</v>
      </c>
      <c r="D221" s="117" t="s">
        <v>50</v>
      </c>
      <c r="E221" s="117" t="s">
        <v>187</v>
      </c>
      <c r="F221" s="117" t="s">
        <v>13</v>
      </c>
      <c r="G221" s="15" t="s">
        <v>1758</v>
      </c>
      <c r="H221" s="7">
        <f>CEILING((PRODUCT(42,USD)),10)</f>
        <v>3210</v>
      </c>
      <c r="I221" s="8"/>
      <c r="J221" s="9"/>
      <c r="L221" s="12" t="s">
        <v>1813</v>
      </c>
      <c r="M221" s="12" t="s">
        <v>1759</v>
      </c>
    </row>
    <row r="222" spans="1:13" ht="30" customHeight="1" x14ac:dyDescent="0.3">
      <c r="A222" s="147"/>
      <c r="B222" s="72" t="s">
        <v>1755</v>
      </c>
      <c r="C222" s="117" t="s">
        <v>96</v>
      </c>
      <c r="D222" s="117" t="s">
        <v>50</v>
      </c>
      <c r="E222" s="117" t="s">
        <v>187</v>
      </c>
      <c r="F222" s="117" t="s">
        <v>13</v>
      </c>
      <c r="G222" s="15" t="s">
        <v>1758</v>
      </c>
      <c r="H222" s="7">
        <f>CEILING((PRODUCT(53,USD)),10)</f>
        <v>4050</v>
      </c>
      <c r="I222" s="8"/>
      <c r="J222" s="9"/>
      <c r="L222" s="12" t="s">
        <v>1813</v>
      </c>
      <c r="M222" s="12" t="s">
        <v>1759</v>
      </c>
    </row>
    <row r="223" spans="1:13" ht="30" customHeight="1" x14ac:dyDescent="0.3">
      <c r="A223" s="147"/>
      <c r="B223" s="72" t="s">
        <v>1756</v>
      </c>
      <c r="C223" s="117" t="s">
        <v>58</v>
      </c>
      <c r="D223" s="117" t="s">
        <v>51</v>
      </c>
      <c r="E223" s="117" t="s">
        <v>187</v>
      </c>
      <c r="F223" s="117" t="s">
        <v>13</v>
      </c>
      <c r="G223" s="15" t="s">
        <v>1758</v>
      </c>
      <c r="H223" s="7">
        <f>CEILING((PRODUCT(42,USD)),10)</f>
        <v>3210</v>
      </c>
      <c r="I223" s="8"/>
      <c r="J223" s="9"/>
      <c r="L223" s="12" t="s">
        <v>1813</v>
      </c>
      <c r="M223" s="12" t="s">
        <v>1759</v>
      </c>
    </row>
    <row r="224" spans="1:13" ht="30" customHeight="1" x14ac:dyDescent="0.3">
      <c r="A224" s="147"/>
      <c r="B224" s="72" t="s">
        <v>1757</v>
      </c>
      <c r="C224" s="117" t="s">
        <v>384</v>
      </c>
      <c r="D224" s="117" t="s">
        <v>51</v>
      </c>
      <c r="E224" s="117" t="s">
        <v>187</v>
      </c>
      <c r="F224" s="117" t="s">
        <v>13</v>
      </c>
      <c r="G224" s="15" t="s">
        <v>1758</v>
      </c>
      <c r="H224" s="7">
        <f>CEILING((PRODUCT(42,USD)),10)</f>
        <v>3210</v>
      </c>
      <c r="I224" s="8"/>
      <c r="J224" s="9"/>
      <c r="L224" s="12" t="s">
        <v>1813</v>
      </c>
      <c r="M224" s="12" t="s">
        <v>1759</v>
      </c>
    </row>
    <row r="9751" spans="14:14" x14ac:dyDescent="0.3">
      <c r="N9751" s="77" t="s">
        <v>1822</v>
      </c>
    </row>
    <row r="10312" spans="7:7" x14ac:dyDescent="0.3">
      <c r="G10312" s="1">
        <v>59860</v>
      </c>
    </row>
  </sheetData>
  <mergeCells count="52">
    <mergeCell ref="A60:J60"/>
    <mergeCell ref="A35:J35"/>
    <mergeCell ref="A37:A40"/>
    <mergeCell ref="A41:J41"/>
    <mergeCell ref="A42:J42"/>
    <mergeCell ref="A44:A59"/>
    <mergeCell ref="A195:J195"/>
    <mergeCell ref="A196:J196"/>
    <mergeCell ref="A198:A209"/>
    <mergeCell ref="A148:J148"/>
    <mergeCell ref="A166:J166"/>
    <mergeCell ref="A168:A179"/>
    <mergeCell ref="A180:J180"/>
    <mergeCell ref="A183:A194"/>
    <mergeCell ref="A181:J181"/>
    <mergeCell ref="A149:J149"/>
    <mergeCell ref="A151:A164"/>
    <mergeCell ref="A165:J165"/>
    <mergeCell ref="A107:J107"/>
    <mergeCell ref="A67:J67"/>
    <mergeCell ref="A69:A74"/>
    <mergeCell ref="A75:J75"/>
    <mergeCell ref="A76:J76"/>
    <mergeCell ref="A78:A105"/>
    <mergeCell ref="A106:J106"/>
    <mergeCell ref="A115:J115"/>
    <mergeCell ref="A117:A135"/>
    <mergeCell ref="A9:J9"/>
    <mergeCell ref="A1:J1"/>
    <mergeCell ref="A3:A7"/>
    <mergeCell ref="A11:A16"/>
    <mergeCell ref="A17:J17"/>
    <mergeCell ref="A18:J18"/>
    <mergeCell ref="A20:A33"/>
    <mergeCell ref="A34:J34"/>
    <mergeCell ref="A61:J61"/>
    <mergeCell ref="A63:A65"/>
    <mergeCell ref="A66:J66"/>
    <mergeCell ref="A8:J8"/>
    <mergeCell ref="A109:A113"/>
    <mergeCell ref="A114:J114"/>
    <mergeCell ref="A145:J145"/>
    <mergeCell ref="A144:J144"/>
    <mergeCell ref="A136:J136"/>
    <mergeCell ref="A139:A143"/>
    <mergeCell ref="A137:J137"/>
    <mergeCell ref="A221:A224"/>
    <mergeCell ref="A210:J210"/>
    <mergeCell ref="A211:J211"/>
    <mergeCell ref="A213:A217"/>
    <mergeCell ref="A218:J218"/>
    <mergeCell ref="A219:J219"/>
  </mergeCells>
  <hyperlinks>
    <hyperlink ref="B139" r:id="rId1"/>
    <hyperlink ref="B140" r:id="rId2"/>
    <hyperlink ref="B117" r:id="rId3"/>
    <hyperlink ref="B119" r:id="rId4"/>
    <hyperlink ref="B121" r:id="rId5"/>
    <hyperlink ref="B123" r:id="rId6"/>
    <hyperlink ref="B125" r:id="rId7"/>
    <hyperlink ref="B127" r:id="rId8"/>
    <hyperlink ref="B129" r:id="rId9"/>
    <hyperlink ref="B131" r:id="rId10"/>
    <hyperlink ref="B132" r:id="rId11"/>
    <hyperlink ref="B134" r:id="rId12"/>
    <hyperlink ref="B118" r:id="rId13" display="AX-223/E"/>
    <hyperlink ref="B120" r:id="rId14" display="AX-423/E"/>
    <hyperlink ref="B122" r:id="rId15" display="AX-523/E"/>
    <hyperlink ref="B124" r:id="rId16" display="AX-622/E"/>
    <hyperlink ref="B126" r:id="rId17" display="AX-1502/E"/>
    <hyperlink ref="B128" r:id="rId18" display="AX-2202/E"/>
    <hyperlink ref="B130" r:id="rId19" display="AX-4202/E"/>
    <hyperlink ref="B133" r:id="rId20" display="AX-4201/E"/>
    <hyperlink ref="B135" r:id="rId21" display="AX-8201/E"/>
    <hyperlink ref="B113" r:id="rId22"/>
    <hyperlink ref="B175" r:id="rId23"/>
    <hyperlink ref="B176" r:id="rId24"/>
    <hyperlink ref="B177" r:id="rId25"/>
    <hyperlink ref="B179" r:id="rId26"/>
    <hyperlink ref="B170" r:id="rId27"/>
    <hyperlink ref="B171" r:id="rId28"/>
    <hyperlink ref="B172" r:id="rId29"/>
    <hyperlink ref="B178" r:id="rId30"/>
    <hyperlink ref="B173" r:id="rId31"/>
    <hyperlink ref="B168" r:id="rId32"/>
    <hyperlink ref="B174" r:id="rId33"/>
    <hyperlink ref="B169" r:id="rId34"/>
    <hyperlink ref="B190" r:id="rId35"/>
    <hyperlink ref="B191" r:id="rId36"/>
    <hyperlink ref="B194" r:id="rId37"/>
    <hyperlink ref="B192" r:id="rId38"/>
    <hyperlink ref="B185" r:id="rId39"/>
    <hyperlink ref="B186" r:id="rId40"/>
    <hyperlink ref="B183" r:id="rId41"/>
    <hyperlink ref="B187" r:id="rId42"/>
    <hyperlink ref="B193" r:id="rId43"/>
    <hyperlink ref="B188" r:id="rId44"/>
    <hyperlink ref="B184" r:id="rId45"/>
    <hyperlink ref="B189" r:id="rId46"/>
    <hyperlink ref="B205" r:id="rId47"/>
    <hyperlink ref="B209" r:id="rId48"/>
    <hyperlink ref="B206" r:id="rId49"/>
    <hyperlink ref="B200" r:id="rId50"/>
    <hyperlink ref="B202" r:id="rId51"/>
    <hyperlink ref="B208" r:id="rId52"/>
    <hyperlink ref="B201" r:id="rId53"/>
    <hyperlink ref="B207" r:id="rId54"/>
    <hyperlink ref="B199" r:id="rId55"/>
    <hyperlink ref="B203" r:id="rId56"/>
    <hyperlink ref="B198" r:id="rId57"/>
    <hyperlink ref="B204" r:id="rId58"/>
    <hyperlink ref="B3" r:id="rId59"/>
    <hyperlink ref="B4" r:id="rId60"/>
    <hyperlink ref="B5" r:id="rId61"/>
    <hyperlink ref="B6" r:id="rId62"/>
    <hyperlink ref="B7" r:id="rId63"/>
    <hyperlink ref="B141" r:id="rId64"/>
    <hyperlink ref="B142" r:id="rId65"/>
    <hyperlink ref="B109" r:id="rId66"/>
    <hyperlink ref="B11" r:id="rId67"/>
    <hyperlink ref="B13" r:id="rId68"/>
    <hyperlink ref="B15" r:id="rId69"/>
    <hyperlink ref="B12" r:id="rId70"/>
    <hyperlink ref="B14" r:id="rId71"/>
    <hyperlink ref="B16" r:id="rId72"/>
    <hyperlink ref="B20" r:id="rId73"/>
    <hyperlink ref="B21" r:id="rId74"/>
    <hyperlink ref="B22" r:id="rId75"/>
    <hyperlink ref="B23" r:id="rId76"/>
    <hyperlink ref="B24" r:id="rId77"/>
    <hyperlink ref="B25" r:id="rId78"/>
    <hyperlink ref="B26" r:id="rId79"/>
    <hyperlink ref="B27" r:id="rId80"/>
    <hyperlink ref="B28" r:id="rId81"/>
    <hyperlink ref="B29" r:id="rId82"/>
    <hyperlink ref="B63" r:id="rId83"/>
    <hyperlink ref="B64" r:id="rId84"/>
    <hyperlink ref="B65" r:id="rId85"/>
    <hyperlink ref="B69" r:id="rId86"/>
    <hyperlink ref="B71" r:id="rId87"/>
    <hyperlink ref="B73" r:id="rId88"/>
    <hyperlink ref="B70" r:id="rId89"/>
    <hyperlink ref="B72" r:id="rId90"/>
    <hyperlink ref="B74" r:id="rId91"/>
    <hyperlink ref="B78" r:id="rId92"/>
    <hyperlink ref="B80" r:id="rId93"/>
    <hyperlink ref="B82" r:id="rId94"/>
    <hyperlink ref="B84" r:id="rId95"/>
    <hyperlink ref="B86" r:id="rId96"/>
    <hyperlink ref="B88" r:id="rId97"/>
    <hyperlink ref="B92" r:id="rId98"/>
    <hyperlink ref="B94" r:id="rId99"/>
    <hyperlink ref="B96" r:id="rId100"/>
    <hyperlink ref="B98" r:id="rId101"/>
    <hyperlink ref="B100" r:id="rId102"/>
    <hyperlink ref="B102" r:id="rId103"/>
    <hyperlink ref="B104" r:id="rId104"/>
    <hyperlink ref="B105" r:id="rId105"/>
    <hyperlink ref="B79" r:id="rId106"/>
    <hyperlink ref="B81" r:id="rId107"/>
    <hyperlink ref="B83" r:id="rId108"/>
    <hyperlink ref="B85" r:id="rId109"/>
    <hyperlink ref="B87" r:id="rId110"/>
    <hyperlink ref="B89" r:id="rId111"/>
    <hyperlink ref="B91" r:id="rId112"/>
    <hyperlink ref="B93" r:id="rId113"/>
    <hyperlink ref="B95" r:id="rId114"/>
    <hyperlink ref="B97" r:id="rId115"/>
    <hyperlink ref="B99" r:id="rId116"/>
    <hyperlink ref="B101" r:id="rId117"/>
    <hyperlink ref="B103" r:id="rId118"/>
    <hyperlink ref="B30" r:id="rId119"/>
    <hyperlink ref="B31" r:id="rId120"/>
    <hyperlink ref="B32" r:id="rId121"/>
    <hyperlink ref="B33" r:id="rId122"/>
    <hyperlink ref="B151" r:id="rId123"/>
    <hyperlink ref="B152" r:id="rId124"/>
    <hyperlink ref="B153" r:id="rId125"/>
    <hyperlink ref="B154" r:id="rId126"/>
    <hyperlink ref="B155" r:id="rId127"/>
    <hyperlink ref="B156" r:id="rId128"/>
    <hyperlink ref="B157" r:id="rId129"/>
    <hyperlink ref="B158" r:id="rId130"/>
    <hyperlink ref="B159" r:id="rId131"/>
    <hyperlink ref="B160" r:id="rId132"/>
    <hyperlink ref="B161" r:id="rId133"/>
    <hyperlink ref="B162" r:id="rId134"/>
    <hyperlink ref="B163" r:id="rId135"/>
    <hyperlink ref="B164" r:id="rId136"/>
    <hyperlink ref="B213" r:id="rId137"/>
    <hyperlink ref="B214" r:id="rId138"/>
    <hyperlink ref="B215" r:id="rId139"/>
    <hyperlink ref="B216" r:id="rId140"/>
    <hyperlink ref="B217" r:id="rId141"/>
    <hyperlink ref="B221" r:id="rId142"/>
    <hyperlink ref="B222" r:id="rId143"/>
    <hyperlink ref="B223" r:id="rId144"/>
    <hyperlink ref="B224" r:id="rId145"/>
    <hyperlink ref="B90" r:id="rId146"/>
    <hyperlink ref="B111" r:id="rId147"/>
    <hyperlink ref="B112" r:id="rId148" display="AX-224/E"/>
    <hyperlink ref="B110" r:id="rId149" display="AX-124/E"/>
    <hyperlink ref="B37" r:id="rId150"/>
    <hyperlink ref="B38" r:id="rId151"/>
    <hyperlink ref="B39" r:id="rId152"/>
    <hyperlink ref="B40" r:id="rId153"/>
    <hyperlink ref="B44" r:id="rId154"/>
    <hyperlink ref="B45" r:id="rId155"/>
    <hyperlink ref="B46" r:id="rId156"/>
    <hyperlink ref="B47" r:id="rId157"/>
    <hyperlink ref="B48" r:id="rId158"/>
    <hyperlink ref="B49" r:id="rId159"/>
    <hyperlink ref="B50" r:id="rId160"/>
    <hyperlink ref="B51" r:id="rId161"/>
    <hyperlink ref="B52" r:id="rId162"/>
    <hyperlink ref="B53" r:id="rId163"/>
    <hyperlink ref="B54" r:id="rId164"/>
    <hyperlink ref="B55" r:id="rId165"/>
    <hyperlink ref="B56" r:id="rId166"/>
    <hyperlink ref="B57" r:id="rId167"/>
    <hyperlink ref="B58" r:id="rId168"/>
    <hyperlink ref="B59" r:id="rId169"/>
    <hyperlink ref="B143" r:id="rId170"/>
  </hyperlinks>
  <pageMargins left="0.7" right="0.7" top="0.75" bottom="0.75" header="0.3" footer="0.3"/>
  <pageSetup paperSize="9" orientation="portrait" r:id="rId171"/>
  <ignoredErrors>
    <ignoredError sqref="H38" formula="1"/>
  </ignoredErrors>
  <drawing r:id="rId17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66"/>
  <sheetViews>
    <sheetView topLeftCell="A193" zoomScale="90" zoomScaleNormal="90" workbookViewId="0">
      <selection activeCell="I203" sqref="I203:J206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81" customWidth="1"/>
    <col min="11" max="11" width="9.109375" style="1"/>
    <col min="12" max="12" width="16.6640625" style="12" hidden="1" customWidth="1"/>
    <col min="13" max="13" width="0" style="1" hidden="1" customWidth="1"/>
    <col min="14" max="16384" width="9.109375" style="1"/>
  </cols>
  <sheetData>
    <row r="1" spans="1:10" ht="39.9" customHeight="1" x14ac:dyDescent="0.3">
      <c r="A1" s="150" t="s">
        <v>1576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ht="41.4" x14ac:dyDescent="0.3">
      <c r="A2" s="70"/>
      <c r="B2" s="38" t="s">
        <v>2</v>
      </c>
      <c r="C2" s="4" t="s">
        <v>42</v>
      </c>
      <c r="D2" s="4" t="s">
        <v>1409</v>
      </c>
      <c r="E2" s="38" t="s">
        <v>9</v>
      </c>
      <c r="F2" s="38" t="s">
        <v>10</v>
      </c>
      <c r="G2" s="4" t="s">
        <v>11</v>
      </c>
      <c r="H2" s="80" t="s">
        <v>17</v>
      </c>
      <c r="I2" s="80"/>
      <c r="J2" s="80"/>
    </row>
    <row r="3" spans="1:10" ht="120" customHeight="1" x14ac:dyDescent="0.3">
      <c r="A3" s="70"/>
      <c r="B3" s="71" t="s">
        <v>1408</v>
      </c>
      <c r="C3" s="70" t="s">
        <v>44</v>
      </c>
      <c r="D3" s="70" t="s">
        <v>330</v>
      </c>
      <c r="E3" s="70" t="s">
        <v>950</v>
      </c>
      <c r="F3" s="70" t="s">
        <v>13</v>
      </c>
      <c r="G3" s="70" t="s">
        <v>1410</v>
      </c>
      <c r="H3" s="25">
        <v>139990</v>
      </c>
      <c r="I3" s="60"/>
      <c r="J3" s="25"/>
    </row>
    <row r="4" spans="1:10" ht="20.100000000000001" customHeight="1" x14ac:dyDescent="0.3">
      <c r="A4" s="159" t="s">
        <v>67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0" ht="20.100000000000001" customHeight="1" x14ac:dyDescent="0.3">
      <c r="A5" s="155" t="s">
        <v>1769</v>
      </c>
      <c r="B5" s="155"/>
      <c r="C5" s="155"/>
      <c r="D5" s="155"/>
      <c r="E5" s="155"/>
      <c r="F5" s="155"/>
      <c r="G5" s="155"/>
      <c r="H5" s="61">
        <v>44990</v>
      </c>
      <c r="I5" s="60"/>
      <c r="J5" s="25"/>
    </row>
    <row r="6" spans="1:10" ht="20.100000000000001" customHeight="1" x14ac:dyDescent="0.3">
      <c r="A6" s="155" t="s">
        <v>1770</v>
      </c>
      <c r="B6" s="155"/>
      <c r="C6" s="155"/>
      <c r="D6" s="155"/>
      <c r="E6" s="155"/>
      <c r="F6" s="155"/>
      <c r="G6" s="155"/>
      <c r="H6" s="61">
        <v>52490</v>
      </c>
      <c r="I6" s="60"/>
      <c r="J6" s="25"/>
    </row>
    <row r="7" spans="1:10" ht="19.5" customHeight="1" x14ac:dyDescent="0.3">
      <c r="A7" s="160"/>
      <c r="B7" s="160"/>
      <c r="C7" s="160"/>
      <c r="D7" s="160"/>
      <c r="E7" s="160"/>
      <c r="F7" s="160"/>
      <c r="G7" s="160"/>
      <c r="H7" s="160"/>
      <c r="I7" s="160"/>
      <c r="J7" s="160"/>
    </row>
    <row r="8" spans="1:10" ht="39.9" customHeight="1" x14ac:dyDescent="0.3">
      <c r="A8" s="150" t="s">
        <v>1577</v>
      </c>
      <c r="B8" s="151"/>
      <c r="C8" s="151"/>
      <c r="D8" s="151"/>
      <c r="E8" s="151"/>
      <c r="F8" s="151"/>
      <c r="G8" s="151"/>
      <c r="H8" s="151"/>
      <c r="I8" s="151"/>
      <c r="J8" s="151"/>
    </row>
    <row r="9" spans="1:10" ht="41.4" x14ac:dyDescent="0.3">
      <c r="A9" s="102"/>
      <c r="B9" s="73" t="s">
        <v>2</v>
      </c>
      <c r="C9" s="4" t="s">
        <v>42</v>
      </c>
      <c r="D9" s="4" t="s">
        <v>43</v>
      </c>
      <c r="E9" s="38" t="s">
        <v>9</v>
      </c>
      <c r="F9" s="38" t="s">
        <v>10</v>
      </c>
      <c r="G9" s="4" t="s">
        <v>11</v>
      </c>
      <c r="H9" s="80" t="s">
        <v>17</v>
      </c>
      <c r="I9" s="80"/>
      <c r="J9" s="80"/>
    </row>
    <row r="10" spans="1:10" ht="27" customHeight="1" x14ac:dyDescent="0.3">
      <c r="A10" s="161"/>
      <c r="B10" s="72" t="s">
        <v>1568</v>
      </c>
      <c r="C10" s="101" t="s">
        <v>991</v>
      </c>
      <c r="D10" s="101" t="s">
        <v>70</v>
      </c>
      <c r="E10" s="101" t="s">
        <v>930</v>
      </c>
      <c r="F10" s="33" t="s">
        <v>1487</v>
      </c>
      <c r="G10" s="101" t="s">
        <v>236</v>
      </c>
      <c r="H10" s="61">
        <v>279990</v>
      </c>
      <c r="I10" s="60"/>
      <c r="J10" s="61"/>
    </row>
    <row r="11" spans="1:10" ht="27" customHeight="1" x14ac:dyDescent="0.3">
      <c r="A11" s="162"/>
      <c r="B11" s="72" t="s">
        <v>1569</v>
      </c>
      <c r="C11" s="101" t="s">
        <v>1573</v>
      </c>
      <c r="D11" s="101" t="s">
        <v>348</v>
      </c>
      <c r="E11" s="101" t="s">
        <v>930</v>
      </c>
      <c r="F11" s="33" t="s">
        <v>1487</v>
      </c>
      <c r="G11" s="101" t="s">
        <v>236</v>
      </c>
      <c r="H11" s="61">
        <v>309990</v>
      </c>
      <c r="I11" s="60"/>
      <c r="J11" s="61"/>
    </row>
    <row r="12" spans="1:10" ht="27" customHeight="1" x14ac:dyDescent="0.3">
      <c r="A12" s="162"/>
      <c r="B12" s="72" t="s">
        <v>1570</v>
      </c>
      <c r="C12" s="101" t="s">
        <v>1574</v>
      </c>
      <c r="D12" s="101" t="s">
        <v>70</v>
      </c>
      <c r="E12" s="101" t="s">
        <v>930</v>
      </c>
      <c r="F12" s="33" t="s">
        <v>1487</v>
      </c>
      <c r="G12" s="101" t="s">
        <v>236</v>
      </c>
      <c r="H12" s="61">
        <v>309990</v>
      </c>
      <c r="I12" s="60"/>
      <c r="J12" s="61"/>
    </row>
    <row r="13" spans="1:10" ht="27" customHeight="1" x14ac:dyDescent="0.3">
      <c r="A13" s="162"/>
      <c r="B13" s="72" t="s">
        <v>1571</v>
      </c>
      <c r="C13" s="101" t="s">
        <v>46</v>
      </c>
      <c r="D13" s="101" t="s">
        <v>348</v>
      </c>
      <c r="E13" s="101" t="s">
        <v>930</v>
      </c>
      <c r="F13" s="33" t="s">
        <v>1487</v>
      </c>
      <c r="G13" s="101" t="s">
        <v>236</v>
      </c>
      <c r="H13" s="61">
        <v>459990</v>
      </c>
      <c r="I13" s="60"/>
      <c r="J13" s="61"/>
    </row>
    <row r="14" spans="1:10" ht="27" customHeight="1" x14ac:dyDescent="0.3">
      <c r="A14" s="162"/>
      <c r="B14" s="103" t="s">
        <v>1572</v>
      </c>
      <c r="C14" s="101" t="s">
        <v>46</v>
      </c>
      <c r="D14" s="101" t="s">
        <v>348</v>
      </c>
      <c r="E14" s="101" t="s">
        <v>930</v>
      </c>
      <c r="F14" s="33" t="s">
        <v>1487</v>
      </c>
      <c r="G14" s="101" t="s">
        <v>236</v>
      </c>
      <c r="H14" s="61">
        <v>544990</v>
      </c>
      <c r="I14" s="60"/>
      <c r="J14" s="61"/>
    </row>
    <row r="15" spans="1:10" ht="20.100000000000001" customHeight="1" x14ac:dyDescent="0.3">
      <c r="A15" s="167" t="s">
        <v>67</v>
      </c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20.100000000000001" customHeight="1" x14ac:dyDescent="0.3">
      <c r="A16" s="155" t="s">
        <v>1769</v>
      </c>
      <c r="B16" s="155"/>
      <c r="C16" s="155"/>
      <c r="D16" s="155"/>
      <c r="E16" s="155"/>
      <c r="F16" s="155"/>
      <c r="G16" s="155"/>
      <c r="H16" s="61">
        <v>44990</v>
      </c>
      <c r="I16" s="60"/>
      <c r="J16" s="25"/>
    </row>
    <row r="17" spans="1:12" ht="20.100000000000001" customHeight="1" x14ac:dyDescent="0.3">
      <c r="A17" s="155" t="s">
        <v>1770</v>
      </c>
      <c r="B17" s="155"/>
      <c r="C17" s="155"/>
      <c r="D17" s="155"/>
      <c r="E17" s="155"/>
      <c r="F17" s="155"/>
      <c r="G17" s="155"/>
      <c r="H17" s="61">
        <v>52490</v>
      </c>
      <c r="I17" s="60"/>
      <c r="J17" s="25"/>
    </row>
    <row r="18" spans="1:12" ht="20.100000000000001" customHeight="1" x14ac:dyDescent="0.3">
      <c r="A18" s="155" t="s">
        <v>1412</v>
      </c>
      <c r="B18" s="155"/>
      <c r="C18" s="155"/>
      <c r="D18" s="155"/>
      <c r="E18" s="155"/>
      <c r="F18" s="155"/>
      <c r="G18" s="155"/>
      <c r="H18" s="61">
        <v>34990</v>
      </c>
      <c r="I18" s="60"/>
      <c r="J18" s="25"/>
    </row>
    <row r="19" spans="1:12" ht="20.100000000000001" customHeight="1" x14ac:dyDescent="0.3">
      <c r="A19" s="155" t="s">
        <v>1566</v>
      </c>
      <c r="B19" s="155"/>
      <c r="C19" s="155"/>
      <c r="D19" s="155"/>
      <c r="E19" s="155"/>
      <c r="F19" s="155"/>
      <c r="G19" s="155"/>
      <c r="H19" s="61">
        <v>44990</v>
      </c>
      <c r="I19" s="60"/>
      <c r="J19" s="25"/>
    </row>
    <row r="20" spans="1:12" ht="20.100000000000001" customHeight="1" x14ac:dyDescent="0.3">
      <c r="A20" s="155" t="s">
        <v>911</v>
      </c>
      <c r="B20" s="155"/>
      <c r="C20" s="155"/>
      <c r="D20" s="155"/>
      <c r="E20" s="155"/>
      <c r="F20" s="155"/>
      <c r="G20" s="155"/>
      <c r="H20" s="25">
        <v>14990</v>
      </c>
      <c r="I20" s="60"/>
      <c r="J20" s="25"/>
    </row>
    <row r="21" spans="1:12" ht="20.100000000000001" customHeight="1" x14ac:dyDescent="0.3">
      <c r="A21" s="155" t="s">
        <v>1414</v>
      </c>
      <c r="B21" s="155"/>
      <c r="C21" s="155"/>
      <c r="D21" s="155"/>
      <c r="E21" s="155"/>
      <c r="F21" s="155"/>
      <c r="G21" s="155"/>
      <c r="H21" s="61">
        <v>87490</v>
      </c>
      <c r="I21" s="60"/>
      <c r="J21" s="25"/>
    </row>
    <row r="22" spans="1:12" ht="20.100000000000001" customHeight="1" x14ac:dyDescent="0.3">
      <c r="A22" s="155" t="s">
        <v>1575</v>
      </c>
      <c r="B22" s="155"/>
      <c r="C22" s="155"/>
      <c r="D22" s="155"/>
      <c r="E22" s="155"/>
      <c r="F22" s="155"/>
      <c r="G22" s="155"/>
      <c r="H22" s="61" t="s">
        <v>829</v>
      </c>
      <c r="I22" s="60"/>
      <c r="J22" s="25"/>
    </row>
    <row r="23" spans="1:12" ht="19.5" customHeight="1" x14ac:dyDescent="0.3">
      <c r="A23" s="160"/>
      <c r="B23" s="160"/>
      <c r="C23" s="160"/>
      <c r="D23" s="160"/>
      <c r="E23" s="160"/>
      <c r="F23" s="160"/>
      <c r="G23" s="160"/>
      <c r="H23" s="160"/>
      <c r="I23" s="160"/>
      <c r="J23" s="160"/>
    </row>
    <row r="24" spans="1:12" ht="39.9" customHeight="1" x14ac:dyDescent="0.3">
      <c r="A24" s="150" t="s">
        <v>1579</v>
      </c>
      <c r="B24" s="151"/>
      <c r="C24" s="151"/>
      <c r="D24" s="151"/>
      <c r="E24" s="151"/>
      <c r="F24" s="151"/>
      <c r="G24" s="151"/>
      <c r="H24" s="151"/>
      <c r="I24" s="151"/>
      <c r="J24" s="151"/>
    </row>
    <row r="25" spans="1:12" ht="41.4" x14ac:dyDescent="0.3">
      <c r="A25" s="70"/>
      <c r="B25" s="38" t="s">
        <v>2</v>
      </c>
      <c r="C25" s="4" t="s">
        <v>42</v>
      </c>
      <c r="D25" s="38" t="s">
        <v>43</v>
      </c>
      <c r="E25" s="38" t="s">
        <v>9</v>
      </c>
      <c r="F25" s="38" t="s">
        <v>10</v>
      </c>
      <c r="G25" s="4" t="s">
        <v>11</v>
      </c>
      <c r="H25" s="80" t="s">
        <v>17</v>
      </c>
      <c r="I25" s="80" t="s">
        <v>12</v>
      </c>
      <c r="J25" s="80" t="s">
        <v>18</v>
      </c>
    </row>
    <row r="26" spans="1:12" ht="60" customHeight="1" x14ac:dyDescent="0.3">
      <c r="A26" s="147"/>
      <c r="B26" s="72" t="s">
        <v>900</v>
      </c>
      <c r="C26" s="70" t="s">
        <v>606</v>
      </c>
      <c r="D26" s="70" t="s">
        <v>70</v>
      </c>
      <c r="E26" s="70" t="s">
        <v>930</v>
      </c>
      <c r="F26" s="70" t="s">
        <v>15</v>
      </c>
      <c r="G26" s="70" t="s">
        <v>71</v>
      </c>
      <c r="H26" s="61">
        <v>204990</v>
      </c>
      <c r="I26" s="60"/>
      <c r="J26" s="61"/>
      <c r="L26" s="12" t="s">
        <v>1786</v>
      </c>
    </row>
    <row r="27" spans="1:12" ht="60" customHeight="1" x14ac:dyDescent="0.3">
      <c r="A27" s="147"/>
      <c r="B27" s="72" t="s">
        <v>901</v>
      </c>
      <c r="C27" s="70" t="s">
        <v>607</v>
      </c>
      <c r="D27" s="70" t="s">
        <v>70</v>
      </c>
      <c r="E27" s="70" t="s">
        <v>930</v>
      </c>
      <c r="F27" s="70" t="s">
        <v>15</v>
      </c>
      <c r="G27" s="70" t="s">
        <v>71</v>
      </c>
      <c r="H27" s="61">
        <v>229990</v>
      </c>
      <c r="I27" s="60"/>
      <c r="J27" s="61"/>
      <c r="L27" s="12" t="s">
        <v>1786</v>
      </c>
    </row>
    <row r="28" spans="1:12" ht="20.100000000000001" customHeight="1" x14ac:dyDescent="0.3">
      <c r="A28" s="159" t="s">
        <v>67</v>
      </c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2" ht="20.100000000000001" customHeight="1" x14ac:dyDescent="0.3">
      <c r="A29" s="155" t="s">
        <v>1411</v>
      </c>
      <c r="B29" s="155"/>
      <c r="C29" s="155"/>
      <c r="D29" s="155"/>
      <c r="E29" s="155"/>
      <c r="F29" s="155"/>
      <c r="G29" s="155"/>
      <c r="H29" s="61">
        <v>44990</v>
      </c>
      <c r="I29" s="60"/>
      <c r="J29" s="25"/>
    </row>
    <row r="30" spans="1:12" ht="20.100000000000001" customHeight="1" x14ac:dyDescent="0.3">
      <c r="A30" s="155" t="s">
        <v>1769</v>
      </c>
      <c r="B30" s="155"/>
      <c r="C30" s="155"/>
      <c r="D30" s="155"/>
      <c r="E30" s="155"/>
      <c r="F30" s="155"/>
      <c r="G30" s="155"/>
      <c r="H30" s="61">
        <v>44990</v>
      </c>
      <c r="I30" s="60"/>
      <c r="J30" s="25"/>
    </row>
    <row r="31" spans="1:12" ht="20.100000000000001" customHeight="1" x14ac:dyDescent="0.3">
      <c r="A31" s="155" t="s">
        <v>1770</v>
      </c>
      <c r="B31" s="155"/>
      <c r="C31" s="155"/>
      <c r="D31" s="155"/>
      <c r="E31" s="155"/>
      <c r="F31" s="155"/>
      <c r="G31" s="155"/>
      <c r="H31" s="61">
        <v>52490</v>
      </c>
      <c r="I31" s="60"/>
      <c r="J31" s="25"/>
    </row>
    <row r="32" spans="1:12" ht="20.100000000000001" customHeight="1" x14ac:dyDescent="0.3">
      <c r="A32" s="155" t="s">
        <v>1412</v>
      </c>
      <c r="B32" s="155"/>
      <c r="C32" s="155"/>
      <c r="D32" s="155"/>
      <c r="E32" s="155"/>
      <c r="F32" s="155"/>
      <c r="G32" s="155"/>
      <c r="H32" s="61">
        <v>34990</v>
      </c>
      <c r="I32" s="60"/>
      <c r="J32" s="25"/>
    </row>
    <row r="33" spans="1:10" ht="20.100000000000001" customHeight="1" x14ac:dyDescent="0.3">
      <c r="A33" s="155" t="s">
        <v>911</v>
      </c>
      <c r="B33" s="155"/>
      <c r="C33" s="155"/>
      <c r="D33" s="155"/>
      <c r="E33" s="155"/>
      <c r="F33" s="155"/>
      <c r="G33" s="155"/>
      <c r="H33" s="25">
        <v>14990</v>
      </c>
      <c r="I33" s="60"/>
      <c r="J33" s="25"/>
    </row>
    <row r="34" spans="1:10" ht="20.100000000000001" customHeight="1" x14ac:dyDescent="0.3">
      <c r="A34" s="155" t="s">
        <v>1414</v>
      </c>
      <c r="B34" s="155"/>
      <c r="C34" s="155"/>
      <c r="D34" s="155"/>
      <c r="E34" s="155"/>
      <c r="F34" s="155"/>
      <c r="G34" s="155"/>
      <c r="H34" s="61">
        <v>87490</v>
      </c>
      <c r="I34" s="60"/>
      <c r="J34" s="25"/>
    </row>
    <row r="35" spans="1:10" ht="20.100000000000001" customHeight="1" x14ac:dyDescent="0.3">
      <c r="A35" s="155" t="s">
        <v>1771</v>
      </c>
      <c r="B35" s="155"/>
      <c r="C35" s="155"/>
      <c r="D35" s="155"/>
      <c r="E35" s="155"/>
      <c r="F35" s="155"/>
      <c r="G35" s="155"/>
      <c r="H35" s="61">
        <v>2490</v>
      </c>
      <c r="I35" s="60"/>
      <c r="J35" s="25"/>
    </row>
    <row r="36" spans="1:10" ht="19.5" customHeight="1" x14ac:dyDescent="0.3">
      <c r="A36" s="160"/>
      <c r="B36" s="160"/>
      <c r="C36" s="160"/>
      <c r="D36" s="160"/>
      <c r="E36" s="160"/>
      <c r="F36" s="160"/>
      <c r="G36" s="160"/>
      <c r="H36" s="160"/>
      <c r="I36" s="160"/>
      <c r="J36" s="160"/>
    </row>
    <row r="37" spans="1:10" ht="39.9" customHeight="1" x14ac:dyDescent="0.3">
      <c r="A37" s="150" t="s">
        <v>1578</v>
      </c>
      <c r="B37" s="151"/>
      <c r="C37" s="151"/>
      <c r="D37" s="151"/>
      <c r="E37" s="151"/>
      <c r="F37" s="151"/>
      <c r="G37" s="151"/>
      <c r="H37" s="151"/>
      <c r="I37" s="151"/>
      <c r="J37" s="151"/>
    </row>
    <row r="38" spans="1:10" ht="41.4" x14ac:dyDescent="0.3">
      <c r="A38" s="102"/>
      <c r="B38" s="73" t="s">
        <v>2</v>
      </c>
      <c r="C38" s="4" t="s">
        <v>42</v>
      </c>
      <c r="D38" s="4" t="s">
        <v>43</v>
      </c>
      <c r="E38" s="38" t="s">
        <v>9</v>
      </c>
      <c r="F38" s="38" t="s">
        <v>10</v>
      </c>
      <c r="G38" s="4" t="s">
        <v>11</v>
      </c>
      <c r="H38" s="80" t="s">
        <v>17</v>
      </c>
      <c r="I38" s="80"/>
      <c r="J38" s="80"/>
    </row>
    <row r="39" spans="1:10" ht="24.9" customHeight="1" x14ac:dyDescent="0.3">
      <c r="A39" s="161"/>
      <c r="B39" s="72" t="s">
        <v>1560</v>
      </c>
      <c r="C39" s="101" t="s">
        <v>45</v>
      </c>
      <c r="D39" s="101" t="s">
        <v>47</v>
      </c>
      <c r="E39" s="101" t="s">
        <v>930</v>
      </c>
      <c r="F39" s="33" t="s">
        <v>1487</v>
      </c>
      <c r="G39" s="101" t="s">
        <v>236</v>
      </c>
      <c r="H39" s="61">
        <v>189990</v>
      </c>
      <c r="I39" s="60"/>
      <c r="J39" s="61"/>
    </row>
    <row r="40" spans="1:10" ht="24.9" customHeight="1" x14ac:dyDescent="0.3">
      <c r="A40" s="162"/>
      <c r="B40" s="72" t="s">
        <v>1561</v>
      </c>
      <c r="C40" s="101" t="s">
        <v>45</v>
      </c>
      <c r="D40" s="101" t="s">
        <v>47</v>
      </c>
      <c r="E40" s="101" t="s">
        <v>930</v>
      </c>
      <c r="F40" s="33" t="s">
        <v>1487</v>
      </c>
      <c r="G40" s="101" t="s">
        <v>236</v>
      </c>
      <c r="H40" s="61">
        <v>209990</v>
      </c>
      <c r="I40" s="60"/>
      <c r="J40" s="61"/>
    </row>
    <row r="41" spans="1:10" ht="24.9" customHeight="1" x14ac:dyDescent="0.3">
      <c r="A41" s="162"/>
      <c r="B41" s="72" t="s">
        <v>1562</v>
      </c>
      <c r="C41" s="101" t="s">
        <v>46</v>
      </c>
      <c r="D41" s="101" t="s">
        <v>47</v>
      </c>
      <c r="E41" s="101" t="s">
        <v>930</v>
      </c>
      <c r="F41" s="33" t="s">
        <v>1487</v>
      </c>
      <c r="G41" s="101" t="s">
        <v>236</v>
      </c>
      <c r="H41" s="61">
        <v>209990</v>
      </c>
      <c r="I41" s="60"/>
      <c r="J41" s="61"/>
    </row>
    <row r="42" spans="1:10" ht="24.9" customHeight="1" x14ac:dyDescent="0.3">
      <c r="A42" s="162"/>
      <c r="B42" s="72" t="s">
        <v>1563</v>
      </c>
      <c r="C42" s="101" t="s">
        <v>46</v>
      </c>
      <c r="D42" s="101" t="s">
        <v>47</v>
      </c>
      <c r="E42" s="101" t="s">
        <v>930</v>
      </c>
      <c r="F42" s="33" t="s">
        <v>1487</v>
      </c>
      <c r="G42" s="101" t="s">
        <v>236</v>
      </c>
      <c r="H42" s="61">
        <v>232490</v>
      </c>
      <c r="I42" s="60"/>
      <c r="J42" s="61"/>
    </row>
    <row r="43" spans="1:10" ht="24.9" customHeight="1" x14ac:dyDescent="0.3">
      <c r="A43" s="162"/>
      <c r="B43" s="72" t="s">
        <v>1564</v>
      </c>
      <c r="C43" s="101" t="s">
        <v>52</v>
      </c>
      <c r="D43" s="101" t="s">
        <v>47</v>
      </c>
      <c r="E43" s="101" t="s">
        <v>930</v>
      </c>
      <c r="F43" s="33" t="s">
        <v>1487</v>
      </c>
      <c r="G43" s="101" t="s">
        <v>236</v>
      </c>
      <c r="H43" s="61">
        <v>229990</v>
      </c>
      <c r="I43" s="60"/>
      <c r="J43" s="61"/>
    </row>
    <row r="44" spans="1:10" ht="24.9" customHeight="1" x14ac:dyDescent="0.3">
      <c r="A44" s="163"/>
      <c r="B44" s="72" t="s">
        <v>1565</v>
      </c>
      <c r="C44" s="101" t="s">
        <v>52</v>
      </c>
      <c r="D44" s="101" t="s">
        <v>47</v>
      </c>
      <c r="E44" s="101" t="s">
        <v>930</v>
      </c>
      <c r="F44" s="33" t="s">
        <v>1487</v>
      </c>
      <c r="G44" s="101" t="s">
        <v>236</v>
      </c>
      <c r="H44" s="61">
        <v>254990</v>
      </c>
      <c r="I44" s="60"/>
      <c r="J44" s="61"/>
    </row>
    <row r="45" spans="1:10" ht="20.100000000000001" customHeight="1" x14ac:dyDescent="0.3">
      <c r="A45" s="159" t="s">
        <v>67</v>
      </c>
      <c r="B45" s="159"/>
      <c r="C45" s="159"/>
      <c r="D45" s="159"/>
      <c r="E45" s="159"/>
      <c r="F45" s="159"/>
      <c r="G45" s="159"/>
      <c r="H45" s="159"/>
      <c r="I45" s="159"/>
      <c r="J45" s="159"/>
    </row>
    <row r="46" spans="1:10" ht="20.100000000000001" customHeight="1" x14ac:dyDescent="0.3">
      <c r="A46" s="155" t="s">
        <v>1769</v>
      </c>
      <c r="B46" s="155"/>
      <c r="C46" s="155"/>
      <c r="D46" s="155"/>
      <c r="E46" s="155"/>
      <c r="F46" s="155"/>
      <c r="G46" s="155"/>
      <c r="H46" s="61">
        <v>44990</v>
      </c>
      <c r="I46" s="60"/>
      <c r="J46" s="25"/>
    </row>
    <row r="47" spans="1:10" ht="20.100000000000001" customHeight="1" x14ac:dyDescent="0.3">
      <c r="A47" s="155" t="s">
        <v>1770</v>
      </c>
      <c r="B47" s="155"/>
      <c r="C47" s="155"/>
      <c r="D47" s="155"/>
      <c r="E47" s="155"/>
      <c r="F47" s="155"/>
      <c r="G47" s="155"/>
      <c r="H47" s="61">
        <v>52490</v>
      </c>
      <c r="I47" s="60"/>
      <c r="J47" s="25"/>
    </row>
    <row r="48" spans="1:10" ht="20.100000000000001" customHeight="1" x14ac:dyDescent="0.3">
      <c r="A48" s="155" t="s">
        <v>1412</v>
      </c>
      <c r="B48" s="155"/>
      <c r="C48" s="155"/>
      <c r="D48" s="155"/>
      <c r="E48" s="155"/>
      <c r="F48" s="155"/>
      <c r="G48" s="155"/>
      <c r="H48" s="61">
        <v>34990</v>
      </c>
      <c r="I48" s="60"/>
      <c r="J48" s="25"/>
    </row>
    <row r="49" spans="1:12" ht="20.100000000000001" customHeight="1" x14ac:dyDescent="0.3">
      <c r="A49" s="155" t="s">
        <v>1566</v>
      </c>
      <c r="B49" s="155"/>
      <c r="C49" s="155"/>
      <c r="D49" s="155"/>
      <c r="E49" s="155"/>
      <c r="F49" s="155"/>
      <c r="G49" s="155"/>
      <c r="H49" s="61">
        <v>44990</v>
      </c>
      <c r="I49" s="60"/>
      <c r="J49" s="25"/>
    </row>
    <row r="50" spans="1:12" ht="20.100000000000001" customHeight="1" x14ac:dyDescent="0.3">
      <c r="A50" s="155" t="s">
        <v>911</v>
      </c>
      <c r="B50" s="155"/>
      <c r="C50" s="155"/>
      <c r="D50" s="155"/>
      <c r="E50" s="155"/>
      <c r="F50" s="155"/>
      <c r="G50" s="155"/>
      <c r="H50" s="25">
        <v>14990</v>
      </c>
      <c r="I50" s="60"/>
      <c r="J50" s="25"/>
    </row>
    <row r="51" spans="1:12" ht="20.100000000000001" customHeight="1" x14ac:dyDescent="0.3">
      <c r="A51" s="155" t="s">
        <v>1414</v>
      </c>
      <c r="B51" s="155"/>
      <c r="C51" s="155"/>
      <c r="D51" s="155"/>
      <c r="E51" s="155"/>
      <c r="F51" s="155"/>
      <c r="G51" s="155"/>
      <c r="H51" s="61">
        <v>87490</v>
      </c>
      <c r="I51" s="60"/>
      <c r="J51" s="25"/>
    </row>
    <row r="52" spans="1:12" ht="20.100000000000001" customHeight="1" x14ac:dyDescent="0.3">
      <c r="A52" s="155" t="s">
        <v>1567</v>
      </c>
      <c r="B52" s="155"/>
      <c r="C52" s="155"/>
      <c r="D52" s="155"/>
      <c r="E52" s="155"/>
      <c r="F52" s="155"/>
      <c r="G52" s="155"/>
      <c r="H52" s="61" t="s">
        <v>829</v>
      </c>
      <c r="I52" s="60"/>
      <c r="J52" s="25"/>
    </row>
    <row r="53" spans="1:12" ht="19.5" customHeight="1" x14ac:dyDescent="0.3">
      <c r="A53" s="160"/>
      <c r="B53" s="160"/>
      <c r="C53" s="160"/>
      <c r="D53" s="160"/>
      <c r="E53" s="160"/>
      <c r="F53" s="160"/>
      <c r="G53" s="160"/>
      <c r="H53" s="160"/>
      <c r="I53" s="160"/>
      <c r="J53" s="160"/>
    </row>
    <row r="54" spans="1:12" ht="39.9" customHeight="1" x14ac:dyDescent="0.3">
      <c r="A54" s="150" t="s">
        <v>1580</v>
      </c>
      <c r="B54" s="151"/>
      <c r="C54" s="151"/>
      <c r="D54" s="151"/>
      <c r="E54" s="151"/>
      <c r="F54" s="151"/>
      <c r="G54" s="151"/>
      <c r="H54" s="151"/>
      <c r="I54" s="151"/>
      <c r="J54" s="151"/>
    </row>
    <row r="55" spans="1:12" ht="41.4" x14ac:dyDescent="0.3">
      <c r="A55" s="70"/>
      <c r="B55" s="38" t="s">
        <v>2</v>
      </c>
      <c r="C55" s="4" t="s">
        <v>42</v>
      </c>
      <c r="D55" s="4" t="s">
        <v>43</v>
      </c>
      <c r="E55" s="38" t="s">
        <v>9</v>
      </c>
      <c r="F55" s="38" t="s">
        <v>10</v>
      </c>
      <c r="G55" s="4" t="s">
        <v>11</v>
      </c>
      <c r="H55" s="80" t="s">
        <v>17</v>
      </c>
      <c r="I55" s="80"/>
      <c r="J55" s="80"/>
    </row>
    <row r="56" spans="1:12" ht="30" customHeight="1" x14ac:dyDescent="0.3">
      <c r="A56" s="147"/>
      <c r="B56" s="72" t="s">
        <v>1483</v>
      </c>
      <c r="C56" s="70" t="s">
        <v>1304</v>
      </c>
      <c r="D56" s="70" t="s">
        <v>47</v>
      </c>
      <c r="E56" s="70" t="s">
        <v>930</v>
      </c>
      <c r="F56" s="70" t="s">
        <v>13</v>
      </c>
      <c r="G56" s="70" t="s">
        <v>236</v>
      </c>
      <c r="H56" s="61">
        <v>94990</v>
      </c>
      <c r="I56" s="60"/>
      <c r="J56" s="61"/>
      <c r="L56" s="12" t="s">
        <v>1787</v>
      </c>
    </row>
    <row r="57" spans="1:12" ht="30" customHeight="1" x14ac:dyDescent="0.3">
      <c r="A57" s="147"/>
      <c r="B57" s="72" t="s">
        <v>1484</v>
      </c>
      <c r="C57" s="70" t="s">
        <v>1485</v>
      </c>
      <c r="D57" s="70" t="s">
        <v>47</v>
      </c>
      <c r="E57" s="70" t="s">
        <v>930</v>
      </c>
      <c r="F57" s="70" t="s">
        <v>15</v>
      </c>
      <c r="G57" s="70" t="s">
        <v>236</v>
      </c>
      <c r="H57" s="61">
        <v>104990</v>
      </c>
      <c r="I57" s="60"/>
      <c r="J57" s="61"/>
      <c r="L57" s="12" t="s">
        <v>1787</v>
      </c>
    </row>
    <row r="58" spans="1:12" ht="30" customHeight="1" x14ac:dyDescent="0.3">
      <c r="A58" s="147"/>
      <c r="B58" s="72" t="s">
        <v>1486</v>
      </c>
      <c r="C58" s="70" t="s">
        <v>1485</v>
      </c>
      <c r="D58" s="70" t="s">
        <v>47</v>
      </c>
      <c r="E58" s="70" t="s">
        <v>930</v>
      </c>
      <c r="F58" s="33" t="s">
        <v>1487</v>
      </c>
      <c r="G58" s="70" t="s">
        <v>236</v>
      </c>
      <c r="H58" s="61">
        <v>109990</v>
      </c>
      <c r="I58" s="60"/>
      <c r="J58" s="61"/>
      <c r="L58" s="12" t="s">
        <v>1787</v>
      </c>
    </row>
    <row r="59" spans="1:12" ht="30" customHeight="1" x14ac:dyDescent="0.3">
      <c r="A59" s="147"/>
      <c r="B59" s="72" t="s">
        <v>229</v>
      </c>
      <c r="C59" s="70" t="s">
        <v>45</v>
      </c>
      <c r="D59" s="70" t="s">
        <v>47</v>
      </c>
      <c r="E59" s="70" t="s">
        <v>930</v>
      </c>
      <c r="F59" s="70" t="s">
        <v>13</v>
      </c>
      <c r="G59" s="70" t="s">
        <v>236</v>
      </c>
      <c r="H59" s="61">
        <v>104990</v>
      </c>
      <c r="I59" s="60"/>
      <c r="J59" s="61"/>
      <c r="L59" s="12" t="s">
        <v>1787</v>
      </c>
    </row>
    <row r="60" spans="1:12" ht="30" customHeight="1" x14ac:dyDescent="0.3">
      <c r="A60" s="147"/>
      <c r="B60" s="72" t="s">
        <v>231</v>
      </c>
      <c r="C60" s="70" t="s">
        <v>45</v>
      </c>
      <c r="D60" s="70" t="s">
        <v>47</v>
      </c>
      <c r="E60" s="70" t="s">
        <v>930</v>
      </c>
      <c r="F60" s="70" t="s">
        <v>15</v>
      </c>
      <c r="G60" s="70" t="s">
        <v>236</v>
      </c>
      <c r="H60" s="61">
        <v>114990</v>
      </c>
      <c r="I60" s="60"/>
      <c r="J60" s="61"/>
      <c r="L60" s="12" t="s">
        <v>1787</v>
      </c>
    </row>
    <row r="61" spans="1:12" ht="30" customHeight="1" x14ac:dyDescent="0.3">
      <c r="A61" s="147"/>
      <c r="B61" s="72" t="s">
        <v>1488</v>
      </c>
      <c r="C61" s="70" t="s">
        <v>45</v>
      </c>
      <c r="D61" s="70" t="s">
        <v>47</v>
      </c>
      <c r="E61" s="70" t="s">
        <v>930</v>
      </c>
      <c r="F61" s="33" t="s">
        <v>1487</v>
      </c>
      <c r="G61" s="70" t="s">
        <v>236</v>
      </c>
      <c r="H61" s="61">
        <v>119990</v>
      </c>
      <c r="I61" s="60"/>
      <c r="J61" s="61"/>
      <c r="L61" s="12" t="s">
        <v>1787</v>
      </c>
    </row>
    <row r="62" spans="1:12" ht="30" customHeight="1" x14ac:dyDescent="0.3">
      <c r="A62" s="147"/>
      <c r="B62" s="72" t="s">
        <v>230</v>
      </c>
      <c r="C62" s="70" t="s">
        <v>46</v>
      </c>
      <c r="D62" s="70" t="s">
        <v>47</v>
      </c>
      <c r="E62" s="70" t="s">
        <v>930</v>
      </c>
      <c r="F62" s="70" t="s">
        <v>13</v>
      </c>
      <c r="G62" s="70" t="s">
        <v>236</v>
      </c>
      <c r="H62" s="61">
        <v>114990</v>
      </c>
      <c r="I62" s="60"/>
      <c r="J62" s="61"/>
      <c r="L62" s="12" t="s">
        <v>1787</v>
      </c>
    </row>
    <row r="63" spans="1:12" ht="30" customHeight="1" x14ac:dyDescent="0.3">
      <c r="A63" s="147"/>
      <c r="B63" s="72" t="s">
        <v>232</v>
      </c>
      <c r="C63" s="70" t="s">
        <v>46</v>
      </c>
      <c r="D63" s="70" t="s">
        <v>47</v>
      </c>
      <c r="E63" s="70" t="s">
        <v>930</v>
      </c>
      <c r="F63" s="70" t="s">
        <v>15</v>
      </c>
      <c r="G63" s="70" t="s">
        <v>236</v>
      </c>
      <c r="H63" s="61">
        <v>124990</v>
      </c>
      <c r="I63" s="60"/>
      <c r="J63" s="61"/>
      <c r="L63" s="12" t="s">
        <v>1787</v>
      </c>
    </row>
    <row r="64" spans="1:12" ht="30" customHeight="1" x14ac:dyDescent="0.3">
      <c r="A64" s="147"/>
      <c r="B64" s="72" t="s">
        <v>1489</v>
      </c>
      <c r="C64" s="70" t="s">
        <v>46</v>
      </c>
      <c r="D64" s="70" t="s">
        <v>47</v>
      </c>
      <c r="E64" s="70" t="s">
        <v>930</v>
      </c>
      <c r="F64" s="33" t="s">
        <v>1487</v>
      </c>
      <c r="G64" s="70" t="s">
        <v>236</v>
      </c>
      <c r="H64" s="61">
        <v>129990</v>
      </c>
      <c r="I64" s="60"/>
      <c r="J64" s="61"/>
      <c r="L64" s="12" t="s">
        <v>1787</v>
      </c>
    </row>
    <row r="65" spans="1:12" ht="30" customHeight="1" x14ac:dyDescent="0.3">
      <c r="A65" s="147"/>
      <c r="B65" s="72" t="s">
        <v>1490</v>
      </c>
      <c r="C65" s="70" t="s">
        <v>52</v>
      </c>
      <c r="D65" s="70" t="s">
        <v>47</v>
      </c>
      <c r="E65" s="70" t="s">
        <v>930</v>
      </c>
      <c r="F65" s="70" t="s">
        <v>13</v>
      </c>
      <c r="G65" s="70" t="s">
        <v>236</v>
      </c>
      <c r="H65" s="61">
        <v>124990</v>
      </c>
      <c r="I65" s="60"/>
      <c r="J65" s="61"/>
      <c r="L65" s="12" t="s">
        <v>1787</v>
      </c>
    </row>
    <row r="66" spans="1:12" ht="30" customHeight="1" x14ac:dyDescent="0.3">
      <c r="A66" s="147"/>
      <c r="B66" s="72" t="s">
        <v>1491</v>
      </c>
      <c r="C66" s="70" t="s">
        <v>52</v>
      </c>
      <c r="D66" s="70" t="s">
        <v>47</v>
      </c>
      <c r="E66" s="70" t="s">
        <v>930</v>
      </c>
      <c r="F66" s="70" t="s">
        <v>15</v>
      </c>
      <c r="G66" s="70" t="s">
        <v>236</v>
      </c>
      <c r="H66" s="61">
        <v>134990</v>
      </c>
      <c r="I66" s="60"/>
      <c r="J66" s="61"/>
      <c r="L66" s="12" t="s">
        <v>1787</v>
      </c>
    </row>
    <row r="67" spans="1:12" ht="30" customHeight="1" x14ac:dyDescent="0.3">
      <c r="A67" s="147"/>
      <c r="B67" s="72" t="s">
        <v>1492</v>
      </c>
      <c r="C67" s="70" t="s">
        <v>52</v>
      </c>
      <c r="D67" s="70" t="s">
        <v>47</v>
      </c>
      <c r="E67" s="70" t="s">
        <v>930</v>
      </c>
      <c r="F67" s="33" t="s">
        <v>1487</v>
      </c>
      <c r="G67" s="70" t="s">
        <v>236</v>
      </c>
      <c r="H67" s="61">
        <v>139990</v>
      </c>
      <c r="I67" s="60"/>
      <c r="J67" s="61"/>
      <c r="L67" s="12" t="s">
        <v>1787</v>
      </c>
    </row>
    <row r="68" spans="1:12" ht="30" customHeight="1" x14ac:dyDescent="0.3">
      <c r="A68" s="147"/>
      <c r="B68" s="72" t="s">
        <v>233</v>
      </c>
      <c r="C68" s="70" t="s">
        <v>45</v>
      </c>
      <c r="D68" s="70" t="s">
        <v>47</v>
      </c>
      <c r="E68" s="70" t="s">
        <v>930</v>
      </c>
      <c r="F68" s="33" t="s">
        <v>1487</v>
      </c>
      <c r="G68" s="70" t="s">
        <v>71</v>
      </c>
      <c r="H68" s="61">
        <v>147490</v>
      </c>
      <c r="I68" s="60"/>
      <c r="J68" s="61"/>
      <c r="L68" s="12" t="s">
        <v>1787</v>
      </c>
    </row>
    <row r="69" spans="1:12" ht="30" customHeight="1" x14ac:dyDescent="0.3">
      <c r="A69" s="147"/>
      <c r="B69" s="72" t="s">
        <v>234</v>
      </c>
      <c r="C69" s="70" t="s">
        <v>46</v>
      </c>
      <c r="D69" s="70" t="s">
        <v>47</v>
      </c>
      <c r="E69" s="70" t="s">
        <v>930</v>
      </c>
      <c r="F69" s="33" t="s">
        <v>1487</v>
      </c>
      <c r="G69" s="70" t="s">
        <v>71</v>
      </c>
      <c r="H69" s="61">
        <v>159990</v>
      </c>
      <c r="I69" s="60"/>
      <c r="J69" s="61"/>
      <c r="L69" s="12" t="s">
        <v>1787</v>
      </c>
    </row>
    <row r="70" spans="1:12" ht="30" customHeight="1" x14ac:dyDescent="0.3">
      <c r="A70" s="147"/>
      <c r="B70" s="72" t="s">
        <v>235</v>
      </c>
      <c r="C70" s="70" t="s">
        <v>52</v>
      </c>
      <c r="D70" s="70" t="s">
        <v>47</v>
      </c>
      <c r="E70" s="70" t="s">
        <v>930</v>
      </c>
      <c r="F70" s="33" t="s">
        <v>1487</v>
      </c>
      <c r="G70" s="70" t="s">
        <v>71</v>
      </c>
      <c r="H70" s="61">
        <v>172490</v>
      </c>
      <c r="I70" s="60"/>
      <c r="J70" s="61"/>
      <c r="L70" s="12" t="s">
        <v>1787</v>
      </c>
    </row>
    <row r="71" spans="1:12" ht="20.100000000000001" customHeight="1" x14ac:dyDescent="0.3">
      <c r="A71" s="159" t="s">
        <v>67</v>
      </c>
      <c r="B71" s="159"/>
      <c r="C71" s="159"/>
      <c r="D71" s="159"/>
      <c r="E71" s="159"/>
      <c r="F71" s="159"/>
      <c r="G71" s="159"/>
      <c r="H71" s="159"/>
      <c r="I71" s="159"/>
      <c r="J71" s="159"/>
    </row>
    <row r="72" spans="1:12" ht="20.100000000000001" customHeight="1" x14ac:dyDescent="0.3">
      <c r="A72" s="155" t="s">
        <v>1769</v>
      </c>
      <c r="B72" s="155"/>
      <c r="C72" s="155"/>
      <c r="D72" s="155"/>
      <c r="E72" s="155"/>
      <c r="F72" s="155"/>
      <c r="G72" s="155"/>
      <c r="H72" s="61">
        <v>44990</v>
      </c>
      <c r="I72" s="60"/>
      <c r="J72" s="25"/>
    </row>
    <row r="73" spans="1:12" ht="20.100000000000001" customHeight="1" x14ac:dyDescent="0.3">
      <c r="A73" s="155" t="s">
        <v>1770</v>
      </c>
      <c r="B73" s="155"/>
      <c r="C73" s="155"/>
      <c r="D73" s="155"/>
      <c r="E73" s="155"/>
      <c r="F73" s="155"/>
      <c r="G73" s="155"/>
      <c r="H73" s="61">
        <v>52490</v>
      </c>
      <c r="I73" s="60"/>
      <c r="J73" s="25"/>
    </row>
    <row r="74" spans="1:12" ht="20.100000000000001" customHeight="1" x14ac:dyDescent="0.3">
      <c r="A74" s="155" t="s">
        <v>1493</v>
      </c>
      <c r="B74" s="155"/>
      <c r="C74" s="155"/>
      <c r="D74" s="155"/>
      <c r="E74" s="155"/>
      <c r="F74" s="155"/>
      <c r="G74" s="155"/>
      <c r="H74" s="61">
        <v>44990</v>
      </c>
      <c r="I74" s="60"/>
      <c r="J74" s="25"/>
    </row>
    <row r="75" spans="1:12" ht="20.100000000000001" customHeight="1" x14ac:dyDescent="0.3">
      <c r="A75" s="155" t="s">
        <v>1412</v>
      </c>
      <c r="B75" s="155"/>
      <c r="C75" s="155"/>
      <c r="D75" s="155"/>
      <c r="E75" s="155"/>
      <c r="F75" s="155"/>
      <c r="G75" s="155"/>
      <c r="H75" s="61">
        <v>34990</v>
      </c>
      <c r="I75" s="60"/>
      <c r="J75" s="25"/>
    </row>
    <row r="76" spans="1:12" ht="20.100000000000001" customHeight="1" x14ac:dyDescent="0.3">
      <c r="A76" s="155" t="s">
        <v>911</v>
      </c>
      <c r="B76" s="155"/>
      <c r="C76" s="155"/>
      <c r="D76" s="155"/>
      <c r="E76" s="155"/>
      <c r="F76" s="155"/>
      <c r="G76" s="155"/>
      <c r="H76" s="25">
        <v>14990</v>
      </c>
      <c r="I76" s="60"/>
      <c r="J76" s="25"/>
    </row>
    <row r="77" spans="1:12" ht="20.100000000000001" customHeight="1" x14ac:dyDescent="0.3">
      <c r="A77" s="155" t="s">
        <v>1774</v>
      </c>
      <c r="B77" s="155"/>
      <c r="C77" s="155"/>
      <c r="D77" s="155"/>
      <c r="E77" s="155"/>
      <c r="F77" s="155"/>
      <c r="G77" s="155"/>
      <c r="H77" s="61">
        <v>2490</v>
      </c>
      <c r="I77" s="60"/>
      <c r="J77" s="25"/>
    </row>
    <row r="78" spans="1:12" ht="20.100000000000001" customHeight="1" x14ac:dyDescent="0.3">
      <c r="A78" s="155" t="s">
        <v>1771</v>
      </c>
      <c r="B78" s="155"/>
      <c r="C78" s="155"/>
      <c r="D78" s="155"/>
      <c r="E78" s="155"/>
      <c r="F78" s="155"/>
      <c r="G78" s="155"/>
      <c r="H78" s="61">
        <v>2490</v>
      </c>
      <c r="I78" s="60"/>
      <c r="J78" s="25"/>
    </row>
    <row r="79" spans="1:12" ht="20.100000000000001" customHeight="1" x14ac:dyDescent="0.3">
      <c r="A79" s="155" t="s">
        <v>1414</v>
      </c>
      <c r="B79" s="155"/>
      <c r="C79" s="155"/>
      <c r="D79" s="155"/>
      <c r="E79" s="155"/>
      <c r="F79" s="155"/>
      <c r="G79" s="155"/>
      <c r="H79" s="61">
        <v>87490</v>
      </c>
      <c r="I79" s="60"/>
      <c r="J79" s="25"/>
    </row>
    <row r="80" spans="1:12" ht="19.5" customHeight="1" x14ac:dyDescent="0.3">
      <c r="A80" s="149"/>
      <c r="B80" s="149"/>
      <c r="C80" s="149"/>
      <c r="D80" s="149"/>
      <c r="E80" s="149"/>
      <c r="F80" s="149"/>
      <c r="G80" s="149"/>
      <c r="H80" s="149"/>
      <c r="I80" s="149"/>
      <c r="J80" s="149"/>
    </row>
    <row r="81" spans="1:12" ht="39.9" customHeight="1" x14ac:dyDescent="0.3">
      <c r="A81" s="150" t="s">
        <v>1773</v>
      </c>
      <c r="B81" s="151"/>
      <c r="C81" s="151"/>
      <c r="D81" s="151"/>
      <c r="E81" s="151"/>
      <c r="F81" s="151"/>
      <c r="G81" s="151"/>
      <c r="H81" s="151"/>
      <c r="I81" s="151"/>
      <c r="J81" s="151"/>
    </row>
    <row r="82" spans="1:12" ht="41.4" x14ac:dyDescent="0.3">
      <c r="A82" s="70"/>
      <c r="B82" s="38" t="s">
        <v>2</v>
      </c>
      <c r="C82" s="4" t="s">
        <v>42</v>
      </c>
      <c r="D82" s="4" t="s">
        <v>43</v>
      </c>
      <c r="E82" s="38" t="s">
        <v>9</v>
      </c>
      <c r="F82" s="38" t="s">
        <v>10</v>
      </c>
      <c r="G82" s="4" t="s">
        <v>11</v>
      </c>
      <c r="H82" s="80" t="s">
        <v>17</v>
      </c>
      <c r="I82" s="80"/>
      <c r="J82" s="80"/>
    </row>
    <row r="83" spans="1:12" ht="30" customHeight="1" x14ac:dyDescent="0.3">
      <c r="A83" s="147"/>
      <c r="B83" s="72" t="s">
        <v>1671</v>
      </c>
      <c r="C83" s="70" t="s">
        <v>189</v>
      </c>
      <c r="D83" s="70" t="s">
        <v>48</v>
      </c>
      <c r="E83" s="110" t="s">
        <v>909</v>
      </c>
      <c r="F83" s="70" t="s">
        <v>13</v>
      </c>
      <c r="G83" s="70" t="s">
        <v>247</v>
      </c>
      <c r="H83" s="25">
        <v>34990</v>
      </c>
      <c r="I83" s="60"/>
      <c r="J83" s="25"/>
      <c r="L83" s="12" t="s">
        <v>1788</v>
      </c>
    </row>
    <row r="84" spans="1:12" ht="30" customHeight="1" x14ac:dyDescent="0.3">
      <c r="A84" s="147"/>
      <c r="B84" s="72" t="s">
        <v>1672</v>
      </c>
      <c r="C84" s="70" t="s">
        <v>241</v>
      </c>
      <c r="D84" s="70" t="s">
        <v>48</v>
      </c>
      <c r="E84" s="110" t="s">
        <v>909</v>
      </c>
      <c r="F84" s="70" t="s">
        <v>13</v>
      </c>
      <c r="G84" s="70" t="s">
        <v>247</v>
      </c>
      <c r="H84" s="25">
        <v>37490</v>
      </c>
      <c r="I84" s="60"/>
      <c r="J84" s="25"/>
      <c r="L84" s="12" t="s">
        <v>1788</v>
      </c>
    </row>
    <row r="85" spans="1:12" ht="30" customHeight="1" x14ac:dyDescent="0.3">
      <c r="A85" s="147"/>
      <c r="B85" s="72" t="s">
        <v>1673</v>
      </c>
      <c r="C85" s="70" t="s">
        <v>242</v>
      </c>
      <c r="D85" s="70" t="s">
        <v>48</v>
      </c>
      <c r="E85" s="110" t="s">
        <v>909</v>
      </c>
      <c r="F85" s="70" t="s">
        <v>13</v>
      </c>
      <c r="G85" s="70" t="s">
        <v>247</v>
      </c>
      <c r="H85" s="25">
        <v>42490</v>
      </c>
      <c r="I85" s="60"/>
      <c r="J85" s="25"/>
      <c r="L85" s="12" t="s">
        <v>1788</v>
      </c>
    </row>
    <row r="86" spans="1:12" ht="30" customHeight="1" x14ac:dyDescent="0.3">
      <c r="A86" s="147"/>
      <c r="B86" s="72" t="s">
        <v>1674</v>
      </c>
      <c r="C86" s="70" t="s">
        <v>413</v>
      </c>
      <c r="D86" s="70" t="s">
        <v>48</v>
      </c>
      <c r="E86" s="110" t="s">
        <v>909</v>
      </c>
      <c r="F86" s="70" t="s">
        <v>13</v>
      </c>
      <c r="G86" s="70" t="s">
        <v>247</v>
      </c>
      <c r="H86" s="25">
        <v>49990</v>
      </c>
      <c r="I86" s="60"/>
      <c r="J86" s="25"/>
      <c r="L86" s="12" t="s">
        <v>1788</v>
      </c>
    </row>
    <row r="87" spans="1:12" ht="30" customHeight="1" x14ac:dyDescent="0.3">
      <c r="A87" s="147"/>
      <c r="B87" s="72" t="s">
        <v>908</v>
      </c>
      <c r="C87" s="70" t="s">
        <v>54</v>
      </c>
      <c r="D87" s="70" t="s">
        <v>49</v>
      </c>
      <c r="E87" s="110" t="s">
        <v>909</v>
      </c>
      <c r="F87" s="70" t="s">
        <v>13</v>
      </c>
      <c r="G87" s="70" t="s">
        <v>247</v>
      </c>
      <c r="H87" s="25">
        <v>32490</v>
      </c>
      <c r="I87" s="60"/>
      <c r="J87" s="25"/>
      <c r="L87" s="12" t="s">
        <v>1788</v>
      </c>
    </row>
    <row r="88" spans="1:12" ht="30" customHeight="1" x14ac:dyDescent="0.3">
      <c r="A88" s="147"/>
      <c r="B88" s="72" t="s">
        <v>1675</v>
      </c>
      <c r="C88" s="70" t="s">
        <v>243</v>
      </c>
      <c r="D88" s="70" t="s">
        <v>245</v>
      </c>
      <c r="E88" s="110" t="s">
        <v>909</v>
      </c>
      <c r="F88" s="70" t="s">
        <v>13</v>
      </c>
      <c r="G88" s="70" t="s">
        <v>247</v>
      </c>
      <c r="H88" s="25">
        <v>42490</v>
      </c>
      <c r="I88" s="60"/>
      <c r="J88" s="25"/>
      <c r="L88" s="12" t="s">
        <v>1788</v>
      </c>
    </row>
    <row r="89" spans="1:12" ht="30" customHeight="1" x14ac:dyDescent="0.3">
      <c r="A89" s="147"/>
      <c r="B89" s="72" t="s">
        <v>237</v>
      </c>
      <c r="C89" s="70" t="s">
        <v>181</v>
      </c>
      <c r="D89" s="70" t="s">
        <v>49</v>
      </c>
      <c r="E89" s="110" t="s">
        <v>909</v>
      </c>
      <c r="F89" s="70" t="s">
        <v>13</v>
      </c>
      <c r="G89" s="70" t="s">
        <v>248</v>
      </c>
      <c r="H89" s="25">
        <v>34990</v>
      </c>
      <c r="I89" s="60"/>
      <c r="J89" s="25"/>
      <c r="L89" s="12" t="s">
        <v>1788</v>
      </c>
    </row>
    <row r="90" spans="1:12" ht="30" customHeight="1" x14ac:dyDescent="0.3">
      <c r="A90" s="147"/>
      <c r="B90" s="72" t="s">
        <v>238</v>
      </c>
      <c r="C90" s="70" t="s">
        <v>182</v>
      </c>
      <c r="D90" s="70" t="s">
        <v>49</v>
      </c>
      <c r="E90" s="110" t="s">
        <v>909</v>
      </c>
      <c r="F90" s="70" t="s">
        <v>13</v>
      </c>
      <c r="G90" s="70" t="s">
        <v>248</v>
      </c>
      <c r="H90" s="25">
        <v>37490</v>
      </c>
      <c r="I90" s="60"/>
      <c r="J90" s="25"/>
      <c r="L90" s="12" t="s">
        <v>1788</v>
      </c>
    </row>
    <row r="91" spans="1:12" ht="30" customHeight="1" x14ac:dyDescent="0.3">
      <c r="A91" s="147"/>
      <c r="B91" s="72" t="s">
        <v>1138</v>
      </c>
      <c r="C91" s="70" t="s">
        <v>59</v>
      </c>
      <c r="D91" s="70" t="s">
        <v>49</v>
      </c>
      <c r="E91" s="110" t="s">
        <v>909</v>
      </c>
      <c r="F91" s="70" t="s">
        <v>13</v>
      </c>
      <c r="G91" s="70" t="s">
        <v>248</v>
      </c>
      <c r="H91" s="25">
        <v>42490</v>
      </c>
      <c r="I91" s="60"/>
      <c r="J91" s="25"/>
      <c r="L91" s="12" t="s">
        <v>1788</v>
      </c>
    </row>
    <row r="92" spans="1:12" ht="30" customHeight="1" x14ac:dyDescent="0.3">
      <c r="A92" s="147"/>
      <c r="B92" s="72" t="s">
        <v>1676</v>
      </c>
      <c r="C92" s="70" t="s">
        <v>60</v>
      </c>
      <c r="D92" s="70" t="s">
        <v>49</v>
      </c>
      <c r="E92" s="110" t="s">
        <v>909</v>
      </c>
      <c r="F92" s="70" t="s">
        <v>13</v>
      </c>
      <c r="G92" s="70" t="s">
        <v>248</v>
      </c>
      <c r="H92" s="25">
        <v>49990</v>
      </c>
      <c r="I92" s="60"/>
      <c r="J92" s="25"/>
      <c r="L92" s="12" t="s">
        <v>1788</v>
      </c>
    </row>
    <row r="93" spans="1:12" ht="30" customHeight="1" x14ac:dyDescent="0.3">
      <c r="A93" s="147"/>
      <c r="B93" s="72" t="s">
        <v>912</v>
      </c>
      <c r="C93" s="70" t="s">
        <v>183</v>
      </c>
      <c r="D93" s="70" t="s">
        <v>50</v>
      </c>
      <c r="E93" s="110" t="s">
        <v>909</v>
      </c>
      <c r="F93" s="70" t="s">
        <v>13</v>
      </c>
      <c r="G93" s="70" t="s">
        <v>248</v>
      </c>
      <c r="H93" s="25">
        <v>32490</v>
      </c>
      <c r="I93" s="60"/>
      <c r="J93" s="25"/>
      <c r="L93" s="12" t="s">
        <v>1788</v>
      </c>
    </row>
    <row r="94" spans="1:12" ht="30" customHeight="1" x14ac:dyDescent="0.3">
      <c r="A94" s="147"/>
      <c r="B94" s="72" t="s">
        <v>239</v>
      </c>
      <c r="C94" s="70" t="s">
        <v>244</v>
      </c>
      <c r="D94" s="70" t="s">
        <v>246</v>
      </c>
      <c r="E94" s="110" t="s">
        <v>909</v>
      </c>
      <c r="F94" s="70" t="s">
        <v>13</v>
      </c>
      <c r="G94" s="70" t="s">
        <v>248</v>
      </c>
      <c r="H94" s="25">
        <v>42490</v>
      </c>
      <c r="I94" s="60"/>
      <c r="J94" s="25"/>
      <c r="L94" s="12" t="s">
        <v>1788</v>
      </c>
    </row>
    <row r="95" spans="1:12" ht="30" customHeight="1" x14ac:dyDescent="0.3">
      <c r="A95" s="147"/>
      <c r="B95" s="72" t="s">
        <v>240</v>
      </c>
      <c r="C95" s="70" t="s">
        <v>61</v>
      </c>
      <c r="D95" s="70" t="s">
        <v>50</v>
      </c>
      <c r="E95" s="110" t="s">
        <v>909</v>
      </c>
      <c r="F95" s="70" t="s">
        <v>13</v>
      </c>
      <c r="G95" s="70" t="s">
        <v>248</v>
      </c>
      <c r="H95" s="25">
        <v>34990</v>
      </c>
      <c r="I95" s="60"/>
      <c r="J95" s="25"/>
      <c r="L95" s="12" t="s">
        <v>1788</v>
      </c>
    </row>
    <row r="96" spans="1:12" ht="30" customHeight="1" x14ac:dyDescent="0.3">
      <c r="A96" s="147"/>
      <c r="B96" s="72" t="s">
        <v>1677</v>
      </c>
      <c r="C96" s="70" t="s">
        <v>295</v>
      </c>
      <c r="D96" s="70" t="s">
        <v>50</v>
      </c>
      <c r="E96" s="110" t="s">
        <v>909</v>
      </c>
      <c r="F96" s="70" t="s">
        <v>13</v>
      </c>
      <c r="G96" s="70" t="s">
        <v>248</v>
      </c>
      <c r="H96" s="25">
        <v>37490</v>
      </c>
      <c r="I96" s="60"/>
      <c r="J96" s="25"/>
      <c r="L96" s="12" t="s">
        <v>1788</v>
      </c>
    </row>
    <row r="97" spans="1:10" ht="20.100000000000001" customHeight="1" x14ac:dyDescent="0.3">
      <c r="A97" s="159" t="s">
        <v>67</v>
      </c>
      <c r="B97" s="159"/>
      <c r="C97" s="159"/>
      <c r="D97" s="159"/>
      <c r="E97" s="159"/>
      <c r="F97" s="159"/>
      <c r="G97" s="159"/>
      <c r="H97" s="159"/>
      <c r="I97" s="159"/>
      <c r="J97" s="159"/>
    </row>
    <row r="98" spans="1:10" ht="20.100000000000001" customHeight="1" x14ac:dyDescent="0.3">
      <c r="A98" s="155" t="s">
        <v>1775</v>
      </c>
      <c r="B98" s="155"/>
      <c r="C98" s="155"/>
      <c r="D98" s="155"/>
      <c r="E98" s="155"/>
      <c r="F98" s="155"/>
      <c r="G98" s="155"/>
      <c r="H98" s="25">
        <v>990</v>
      </c>
      <c r="I98" s="60"/>
      <c r="J98" s="25"/>
    </row>
    <row r="99" spans="1:10" ht="20.100000000000001" customHeight="1" x14ac:dyDescent="0.3">
      <c r="A99" s="155" t="s">
        <v>910</v>
      </c>
      <c r="B99" s="155"/>
      <c r="C99" s="155"/>
      <c r="D99" s="155"/>
      <c r="E99" s="155"/>
      <c r="F99" s="155"/>
      <c r="G99" s="155"/>
      <c r="H99" s="25">
        <v>2490</v>
      </c>
      <c r="I99" s="60"/>
      <c r="J99" s="25"/>
    </row>
    <row r="100" spans="1:10" ht="20.100000000000001" customHeight="1" x14ac:dyDescent="0.3">
      <c r="A100" s="155" t="s">
        <v>911</v>
      </c>
      <c r="B100" s="155"/>
      <c r="C100" s="155"/>
      <c r="D100" s="155"/>
      <c r="E100" s="155"/>
      <c r="F100" s="155"/>
      <c r="G100" s="155"/>
      <c r="H100" s="25">
        <v>4990</v>
      </c>
      <c r="I100" s="60"/>
      <c r="J100" s="25"/>
    </row>
    <row r="101" spans="1:10" ht="19.5" customHeight="1" x14ac:dyDescent="0.3">
      <c r="A101" s="160"/>
      <c r="B101" s="160"/>
      <c r="C101" s="160"/>
      <c r="D101" s="160"/>
      <c r="E101" s="160"/>
      <c r="F101" s="160"/>
      <c r="G101" s="160"/>
      <c r="H101" s="160"/>
      <c r="I101" s="160"/>
      <c r="J101" s="160"/>
    </row>
    <row r="102" spans="1:10" ht="39.9" customHeight="1" x14ac:dyDescent="0.3">
      <c r="A102" s="150" t="s">
        <v>1670</v>
      </c>
      <c r="B102" s="151"/>
      <c r="C102" s="151"/>
      <c r="D102" s="151"/>
      <c r="E102" s="151"/>
      <c r="F102" s="151"/>
      <c r="G102" s="151"/>
      <c r="H102" s="151"/>
      <c r="I102" s="151"/>
      <c r="J102" s="151"/>
    </row>
    <row r="103" spans="1:10" ht="41.4" x14ac:dyDescent="0.3">
      <c r="A103" s="70"/>
      <c r="B103" s="73" t="s">
        <v>2</v>
      </c>
      <c r="C103" s="4" t="s">
        <v>42</v>
      </c>
      <c r="D103" s="4" t="s">
        <v>43</v>
      </c>
      <c r="E103" s="38" t="s">
        <v>9</v>
      </c>
      <c r="F103" s="38" t="s">
        <v>10</v>
      </c>
      <c r="G103" s="4" t="s">
        <v>11</v>
      </c>
      <c r="H103" s="80" t="s">
        <v>17</v>
      </c>
      <c r="I103" s="80"/>
      <c r="J103" s="80"/>
    </row>
    <row r="104" spans="1:10" ht="30" customHeight="1" x14ac:dyDescent="0.3">
      <c r="A104" s="164"/>
      <c r="B104" s="72" t="s">
        <v>913</v>
      </c>
      <c r="C104" s="70" t="s">
        <v>189</v>
      </c>
      <c r="D104" s="70" t="s">
        <v>48</v>
      </c>
      <c r="E104" s="70" t="s">
        <v>909</v>
      </c>
      <c r="F104" s="70" t="s">
        <v>15</v>
      </c>
      <c r="G104" s="70" t="s">
        <v>247</v>
      </c>
      <c r="H104" s="25">
        <v>42490</v>
      </c>
      <c r="I104" s="60"/>
      <c r="J104" s="25"/>
    </row>
    <row r="105" spans="1:10" ht="30" customHeight="1" x14ac:dyDescent="0.3">
      <c r="A105" s="165"/>
      <c r="B105" s="72" t="s">
        <v>914</v>
      </c>
      <c r="C105" s="70" t="s">
        <v>241</v>
      </c>
      <c r="D105" s="70" t="s">
        <v>48</v>
      </c>
      <c r="E105" s="70" t="s">
        <v>909</v>
      </c>
      <c r="F105" s="70" t="s">
        <v>15</v>
      </c>
      <c r="G105" s="70" t="s">
        <v>247</v>
      </c>
      <c r="H105" s="25">
        <v>44990</v>
      </c>
      <c r="I105" s="60"/>
      <c r="J105" s="25"/>
    </row>
    <row r="106" spans="1:10" ht="30" customHeight="1" x14ac:dyDescent="0.3">
      <c r="A106" s="165"/>
      <c r="B106" s="72" t="s">
        <v>915</v>
      </c>
      <c r="C106" s="70" t="s">
        <v>242</v>
      </c>
      <c r="D106" s="70" t="s">
        <v>48</v>
      </c>
      <c r="E106" s="70" t="s">
        <v>909</v>
      </c>
      <c r="F106" s="70" t="s">
        <v>15</v>
      </c>
      <c r="G106" s="70" t="s">
        <v>247</v>
      </c>
      <c r="H106" s="25">
        <v>49990</v>
      </c>
      <c r="I106" s="60"/>
      <c r="J106" s="25"/>
    </row>
    <row r="107" spans="1:10" ht="30" customHeight="1" x14ac:dyDescent="0.3">
      <c r="A107" s="165"/>
      <c r="B107" s="72" t="s">
        <v>1415</v>
      </c>
      <c r="C107" s="70" t="s">
        <v>413</v>
      </c>
      <c r="D107" s="70" t="s">
        <v>48</v>
      </c>
      <c r="E107" s="70" t="s">
        <v>909</v>
      </c>
      <c r="F107" s="70" t="s">
        <v>15</v>
      </c>
      <c r="G107" s="70" t="s">
        <v>247</v>
      </c>
      <c r="H107" s="25">
        <v>57490</v>
      </c>
      <c r="I107" s="60"/>
      <c r="J107" s="25"/>
    </row>
    <row r="108" spans="1:10" ht="30" customHeight="1" x14ac:dyDescent="0.3">
      <c r="A108" s="165"/>
      <c r="B108" s="72" t="s">
        <v>916</v>
      </c>
      <c r="C108" s="70" t="s">
        <v>54</v>
      </c>
      <c r="D108" s="70" t="s">
        <v>49</v>
      </c>
      <c r="E108" s="70" t="s">
        <v>909</v>
      </c>
      <c r="F108" s="70" t="s">
        <v>15</v>
      </c>
      <c r="G108" s="70" t="s">
        <v>247</v>
      </c>
      <c r="H108" s="25">
        <v>39990</v>
      </c>
      <c r="I108" s="60"/>
      <c r="J108" s="25"/>
    </row>
    <row r="109" spans="1:10" ht="30" customHeight="1" x14ac:dyDescent="0.3">
      <c r="A109" s="165"/>
      <c r="B109" s="72" t="s">
        <v>917</v>
      </c>
      <c r="C109" s="70" t="s">
        <v>243</v>
      </c>
      <c r="D109" s="70" t="s">
        <v>245</v>
      </c>
      <c r="E109" s="70" t="s">
        <v>909</v>
      </c>
      <c r="F109" s="70" t="s">
        <v>15</v>
      </c>
      <c r="G109" s="70" t="s">
        <v>247</v>
      </c>
      <c r="H109" s="25">
        <v>49990</v>
      </c>
      <c r="I109" s="60"/>
      <c r="J109" s="25"/>
    </row>
    <row r="110" spans="1:10" ht="30" customHeight="1" x14ac:dyDescent="0.3">
      <c r="A110" s="165"/>
      <c r="B110" s="72" t="s">
        <v>1678</v>
      </c>
      <c r="C110" s="105" t="s">
        <v>181</v>
      </c>
      <c r="D110" s="105" t="s">
        <v>49</v>
      </c>
      <c r="E110" s="105" t="s">
        <v>909</v>
      </c>
      <c r="F110" s="105" t="s">
        <v>15</v>
      </c>
      <c r="G110" s="105" t="s">
        <v>248</v>
      </c>
      <c r="H110" s="25">
        <v>42490</v>
      </c>
      <c r="I110" s="60"/>
      <c r="J110" s="25"/>
    </row>
    <row r="111" spans="1:10" ht="30" customHeight="1" x14ac:dyDescent="0.3">
      <c r="A111" s="165"/>
      <c r="B111" s="72" t="s">
        <v>1679</v>
      </c>
      <c r="C111" s="105" t="s">
        <v>182</v>
      </c>
      <c r="D111" s="105" t="s">
        <v>49</v>
      </c>
      <c r="E111" s="105" t="s">
        <v>909</v>
      </c>
      <c r="F111" s="105" t="s">
        <v>15</v>
      </c>
      <c r="G111" s="105" t="s">
        <v>248</v>
      </c>
      <c r="H111" s="25">
        <v>44990</v>
      </c>
      <c r="I111" s="60"/>
      <c r="J111" s="25"/>
    </row>
    <row r="112" spans="1:10" ht="30" customHeight="1" x14ac:dyDescent="0.3">
      <c r="A112" s="165"/>
      <c r="B112" s="72" t="s">
        <v>1680</v>
      </c>
      <c r="C112" s="105" t="s">
        <v>59</v>
      </c>
      <c r="D112" s="105" t="s">
        <v>49</v>
      </c>
      <c r="E112" s="105" t="s">
        <v>909</v>
      </c>
      <c r="F112" s="105" t="s">
        <v>15</v>
      </c>
      <c r="G112" s="105" t="s">
        <v>248</v>
      </c>
      <c r="H112" s="25">
        <v>49990</v>
      </c>
      <c r="I112" s="60"/>
      <c r="J112" s="25"/>
    </row>
    <row r="113" spans="1:10" ht="30" customHeight="1" x14ac:dyDescent="0.3">
      <c r="A113" s="165"/>
      <c r="B113" s="72" t="s">
        <v>1681</v>
      </c>
      <c r="C113" s="105" t="s">
        <v>60</v>
      </c>
      <c r="D113" s="105" t="s">
        <v>49</v>
      </c>
      <c r="E113" s="105" t="s">
        <v>909</v>
      </c>
      <c r="F113" s="105" t="s">
        <v>15</v>
      </c>
      <c r="G113" s="105" t="s">
        <v>248</v>
      </c>
      <c r="H113" s="25">
        <v>57490</v>
      </c>
      <c r="I113" s="60"/>
      <c r="J113" s="25"/>
    </row>
    <row r="114" spans="1:10" ht="30" customHeight="1" x14ac:dyDescent="0.3">
      <c r="A114" s="165"/>
      <c r="B114" s="103" t="s">
        <v>1682</v>
      </c>
      <c r="C114" s="105" t="s">
        <v>244</v>
      </c>
      <c r="D114" s="105" t="s">
        <v>246</v>
      </c>
      <c r="E114" s="105" t="s">
        <v>909</v>
      </c>
      <c r="F114" s="105" t="s">
        <v>15</v>
      </c>
      <c r="G114" s="105" t="s">
        <v>248</v>
      </c>
      <c r="H114" s="25">
        <v>49990</v>
      </c>
      <c r="I114" s="60"/>
      <c r="J114" s="25"/>
    </row>
    <row r="115" spans="1:10" ht="30" customHeight="1" x14ac:dyDescent="0.3">
      <c r="A115" s="165"/>
      <c r="B115" s="72" t="s">
        <v>1683</v>
      </c>
      <c r="C115" s="105" t="s">
        <v>183</v>
      </c>
      <c r="D115" s="105" t="s">
        <v>50</v>
      </c>
      <c r="E115" s="105" t="s">
        <v>909</v>
      </c>
      <c r="F115" s="105" t="s">
        <v>15</v>
      </c>
      <c r="G115" s="105" t="s">
        <v>248</v>
      </c>
      <c r="H115" s="25">
        <v>39990</v>
      </c>
      <c r="I115" s="60"/>
      <c r="J115" s="25"/>
    </row>
    <row r="116" spans="1:10" ht="30" customHeight="1" x14ac:dyDescent="0.3">
      <c r="A116" s="166"/>
      <c r="B116" s="72" t="s">
        <v>1684</v>
      </c>
      <c r="C116" s="105" t="s">
        <v>61</v>
      </c>
      <c r="D116" s="105" t="s">
        <v>50</v>
      </c>
      <c r="E116" s="105" t="s">
        <v>909</v>
      </c>
      <c r="F116" s="105" t="s">
        <v>15</v>
      </c>
      <c r="G116" s="105" t="s">
        <v>248</v>
      </c>
      <c r="H116" s="25">
        <v>42490</v>
      </c>
      <c r="I116" s="60"/>
      <c r="J116" s="25"/>
    </row>
    <row r="117" spans="1:10" ht="20.100000000000001" customHeight="1" x14ac:dyDescent="0.3">
      <c r="A117" s="159" t="s">
        <v>67</v>
      </c>
      <c r="B117" s="159"/>
      <c r="C117" s="159"/>
      <c r="D117" s="159"/>
      <c r="E117" s="159"/>
      <c r="F117" s="159"/>
      <c r="G117" s="159"/>
      <c r="H117" s="159"/>
      <c r="I117" s="159"/>
      <c r="J117" s="159"/>
    </row>
    <row r="118" spans="1:10" ht="20.100000000000001" customHeight="1" x14ac:dyDescent="0.3">
      <c r="A118" s="155" t="s">
        <v>1775</v>
      </c>
      <c r="B118" s="155"/>
      <c r="C118" s="155"/>
      <c r="D118" s="155"/>
      <c r="E118" s="155"/>
      <c r="F118" s="155"/>
      <c r="G118" s="155"/>
      <c r="H118" s="25">
        <v>990</v>
      </c>
      <c r="I118" s="60"/>
      <c r="J118" s="25"/>
    </row>
    <row r="119" spans="1:10" ht="20.100000000000001" customHeight="1" x14ac:dyDescent="0.3">
      <c r="A119" s="155" t="s">
        <v>910</v>
      </c>
      <c r="B119" s="155"/>
      <c r="C119" s="155"/>
      <c r="D119" s="155"/>
      <c r="E119" s="155"/>
      <c r="F119" s="155"/>
      <c r="G119" s="155"/>
      <c r="H119" s="25">
        <v>2490</v>
      </c>
      <c r="I119" s="60"/>
      <c r="J119" s="25"/>
    </row>
    <row r="120" spans="1:10" ht="20.100000000000001" customHeight="1" x14ac:dyDescent="0.3">
      <c r="A120" s="155" t="s">
        <v>1784</v>
      </c>
      <c r="B120" s="155"/>
      <c r="C120" s="155"/>
      <c r="D120" s="155"/>
      <c r="E120" s="155"/>
      <c r="F120" s="155"/>
      <c r="G120" s="155"/>
      <c r="H120" s="25">
        <v>4990</v>
      </c>
      <c r="I120" s="60"/>
      <c r="J120" s="25"/>
    </row>
    <row r="121" spans="1:10" ht="20.100000000000001" customHeight="1" x14ac:dyDescent="0.3">
      <c r="A121" s="155" t="s">
        <v>1785</v>
      </c>
      <c r="B121" s="155"/>
      <c r="C121" s="155"/>
      <c r="D121" s="155"/>
      <c r="E121" s="155"/>
      <c r="F121" s="155"/>
      <c r="G121" s="155"/>
      <c r="H121" s="25">
        <v>14990</v>
      </c>
      <c r="I121" s="60"/>
      <c r="J121" s="25"/>
    </row>
    <row r="122" spans="1:10" ht="19.5" customHeight="1" x14ac:dyDescent="0.3">
      <c r="A122" s="160"/>
      <c r="B122" s="160"/>
      <c r="C122" s="160"/>
      <c r="D122" s="160"/>
      <c r="E122" s="160"/>
      <c r="F122" s="160"/>
      <c r="G122" s="160"/>
      <c r="H122" s="160"/>
      <c r="I122" s="160"/>
      <c r="J122" s="160"/>
    </row>
    <row r="123" spans="1:10" ht="39.9" customHeight="1" x14ac:dyDescent="0.3">
      <c r="A123" s="150" t="s">
        <v>1687</v>
      </c>
      <c r="B123" s="151"/>
      <c r="C123" s="151"/>
      <c r="D123" s="151"/>
      <c r="E123" s="151"/>
      <c r="F123" s="151"/>
      <c r="G123" s="151"/>
      <c r="H123" s="151"/>
      <c r="I123" s="151"/>
      <c r="J123" s="151"/>
    </row>
    <row r="124" spans="1:10" ht="41.4" x14ac:dyDescent="0.3">
      <c r="A124" s="70"/>
      <c r="B124" s="38" t="s">
        <v>2</v>
      </c>
      <c r="C124" s="4" t="s">
        <v>42</v>
      </c>
      <c r="D124" s="4" t="s">
        <v>43</v>
      </c>
      <c r="E124" s="38" t="s">
        <v>9</v>
      </c>
      <c r="F124" s="38" t="s">
        <v>10</v>
      </c>
      <c r="G124" s="4" t="s">
        <v>11</v>
      </c>
      <c r="H124" s="80" t="s">
        <v>17</v>
      </c>
      <c r="I124" s="80" t="s">
        <v>12</v>
      </c>
      <c r="J124" s="80" t="s">
        <v>18</v>
      </c>
    </row>
    <row r="125" spans="1:10" ht="30" customHeight="1" x14ac:dyDescent="0.3">
      <c r="A125" s="147"/>
      <c r="B125" s="72" t="s">
        <v>918</v>
      </c>
      <c r="C125" s="70" t="s">
        <v>46</v>
      </c>
      <c r="D125" s="70" t="s">
        <v>48</v>
      </c>
      <c r="E125" s="70" t="s">
        <v>909</v>
      </c>
      <c r="F125" s="70" t="s">
        <v>15</v>
      </c>
      <c r="G125" s="70" t="s">
        <v>630</v>
      </c>
      <c r="H125" s="25">
        <v>92490</v>
      </c>
      <c r="I125" s="60"/>
      <c r="J125" s="25"/>
    </row>
    <row r="126" spans="1:10" ht="30" customHeight="1" x14ac:dyDescent="0.3">
      <c r="A126" s="147"/>
      <c r="B126" s="72" t="s">
        <v>919</v>
      </c>
      <c r="C126" s="70" t="s">
        <v>53</v>
      </c>
      <c r="D126" s="70" t="s">
        <v>48</v>
      </c>
      <c r="E126" s="70" t="s">
        <v>909</v>
      </c>
      <c r="F126" s="70" t="s">
        <v>15</v>
      </c>
      <c r="G126" s="70" t="s">
        <v>630</v>
      </c>
      <c r="H126" s="25">
        <v>99990</v>
      </c>
      <c r="I126" s="60"/>
      <c r="J126" s="25"/>
    </row>
    <row r="127" spans="1:10" ht="30" customHeight="1" x14ac:dyDescent="0.3">
      <c r="A127" s="147"/>
      <c r="B127" s="72" t="s">
        <v>920</v>
      </c>
      <c r="C127" s="70" t="s">
        <v>96</v>
      </c>
      <c r="D127" s="70" t="s">
        <v>48</v>
      </c>
      <c r="E127" s="70" t="s">
        <v>909</v>
      </c>
      <c r="F127" s="70" t="s">
        <v>15</v>
      </c>
      <c r="G127" s="70" t="s">
        <v>630</v>
      </c>
      <c r="H127" s="25">
        <v>112490</v>
      </c>
      <c r="I127" s="60"/>
      <c r="J127" s="25"/>
    </row>
    <row r="128" spans="1:10" ht="30" customHeight="1" x14ac:dyDescent="0.3">
      <c r="A128" s="147"/>
      <c r="B128" s="72" t="s">
        <v>921</v>
      </c>
      <c r="C128" s="70" t="s">
        <v>96</v>
      </c>
      <c r="D128" s="70" t="s">
        <v>48</v>
      </c>
      <c r="E128" s="70" t="s">
        <v>930</v>
      </c>
      <c r="F128" s="70" t="s">
        <v>15</v>
      </c>
      <c r="G128" s="70" t="s">
        <v>630</v>
      </c>
      <c r="H128" s="25">
        <v>117490</v>
      </c>
      <c r="I128" s="60"/>
      <c r="J128" s="25"/>
    </row>
    <row r="129" spans="1:10" ht="30" customHeight="1" x14ac:dyDescent="0.3">
      <c r="A129" s="147"/>
      <c r="B129" s="72" t="s">
        <v>922</v>
      </c>
      <c r="C129" s="70" t="s">
        <v>97</v>
      </c>
      <c r="D129" s="70" t="s">
        <v>48</v>
      </c>
      <c r="E129" s="70" t="s">
        <v>930</v>
      </c>
      <c r="F129" s="70" t="s">
        <v>15</v>
      </c>
      <c r="G129" s="70" t="s">
        <v>630</v>
      </c>
      <c r="H129" s="25">
        <v>122490</v>
      </c>
      <c r="I129" s="60"/>
      <c r="J129" s="25"/>
    </row>
    <row r="130" spans="1:10" ht="30" customHeight="1" x14ac:dyDescent="0.3">
      <c r="A130" s="147"/>
      <c r="B130" s="72" t="s">
        <v>923</v>
      </c>
      <c r="C130" s="70" t="s">
        <v>929</v>
      </c>
      <c r="D130" s="70" t="s">
        <v>48</v>
      </c>
      <c r="E130" s="70" t="s">
        <v>930</v>
      </c>
      <c r="F130" s="70" t="s">
        <v>15</v>
      </c>
      <c r="G130" s="70" t="s">
        <v>630</v>
      </c>
      <c r="H130" s="25">
        <v>127490</v>
      </c>
      <c r="I130" s="60"/>
      <c r="J130" s="25"/>
    </row>
    <row r="131" spans="1:10" ht="30" customHeight="1" x14ac:dyDescent="0.3">
      <c r="A131" s="147"/>
      <c r="B131" s="72" t="s">
        <v>924</v>
      </c>
      <c r="C131" s="70" t="s">
        <v>97</v>
      </c>
      <c r="D131" s="70" t="s">
        <v>49</v>
      </c>
      <c r="E131" s="70" t="s">
        <v>909</v>
      </c>
      <c r="F131" s="70" t="s">
        <v>15</v>
      </c>
      <c r="G131" s="70" t="s">
        <v>630</v>
      </c>
      <c r="H131" s="25">
        <v>92490</v>
      </c>
      <c r="I131" s="60"/>
      <c r="J131" s="25"/>
    </row>
    <row r="132" spans="1:10" ht="30" customHeight="1" x14ac:dyDescent="0.3">
      <c r="A132" s="147"/>
      <c r="B132" s="72" t="s">
        <v>925</v>
      </c>
      <c r="C132" s="70" t="s">
        <v>58</v>
      </c>
      <c r="D132" s="70" t="s">
        <v>49</v>
      </c>
      <c r="E132" s="70" t="s">
        <v>909</v>
      </c>
      <c r="F132" s="70" t="s">
        <v>15</v>
      </c>
      <c r="G132" s="70" t="s">
        <v>631</v>
      </c>
      <c r="H132" s="25">
        <v>97490</v>
      </c>
      <c r="I132" s="60"/>
      <c r="J132" s="25"/>
    </row>
    <row r="133" spans="1:10" ht="30" customHeight="1" x14ac:dyDescent="0.3">
      <c r="A133" s="147"/>
      <c r="B133" s="72" t="s">
        <v>926</v>
      </c>
      <c r="C133" s="70" t="s">
        <v>99</v>
      </c>
      <c r="D133" s="70" t="s">
        <v>49</v>
      </c>
      <c r="E133" s="70" t="s">
        <v>909</v>
      </c>
      <c r="F133" s="70" t="s">
        <v>15</v>
      </c>
      <c r="G133" s="70" t="s">
        <v>631</v>
      </c>
      <c r="H133" s="25">
        <v>107490</v>
      </c>
      <c r="I133" s="60"/>
      <c r="J133" s="25"/>
    </row>
    <row r="134" spans="1:10" ht="30" customHeight="1" x14ac:dyDescent="0.3">
      <c r="A134" s="147"/>
      <c r="B134" s="72" t="s">
        <v>927</v>
      </c>
      <c r="C134" s="70" t="s">
        <v>100</v>
      </c>
      <c r="D134" s="70" t="s">
        <v>49</v>
      </c>
      <c r="E134" s="70" t="s">
        <v>909</v>
      </c>
      <c r="F134" s="70" t="s">
        <v>15</v>
      </c>
      <c r="G134" s="70" t="s">
        <v>631</v>
      </c>
      <c r="H134" s="25">
        <v>122490</v>
      </c>
      <c r="I134" s="60"/>
      <c r="J134" s="25"/>
    </row>
    <row r="135" spans="1:10" ht="30" customHeight="1" x14ac:dyDescent="0.3">
      <c r="A135" s="147"/>
      <c r="B135" s="72" t="s">
        <v>928</v>
      </c>
      <c r="C135" s="70" t="s">
        <v>100</v>
      </c>
      <c r="D135" s="70" t="s">
        <v>49</v>
      </c>
      <c r="E135" s="70" t="s">
        <v>930</v>
      </c>
      <c r="F135" s="70" t="s">
        <v>15</v>
      </c>
      <c r="G135" s="70" t="s">
        <v>631</v>
      </c>
      <c r="H135" s="25">
        <v>127490</v>
      </c>
      <c r="I135" s="60"/>
      <c r="J135" s="25"/>
    </row>
    <row r="136" spans="1:10" ht="30" customHeight="1" x14ac:dyDescent="0.3">
      <c r="A136" s="147"/>
      <c r="B136" s="72" t="s">
        <v>931</v>
      </c>
      <c r="C136" s="70" t="s">
        <v>101</v>
      </c>
      <c r="D136" s="70" t="s">
        <v>50</v>
      </c>
      <c r="E136" s="70" t="s">
        <v>909</v>
      </c>
      <c r="F136" s="70" t="s">
        <v>15</v>
      </c>
      <c r="G136" s="70" t="s">
        <v>631</v>
      </c>
      <c r="H136" s="25">
        <v>104990</v>
      </c>
      <c r="I136" s="60"/>
      <c r="J136" s="25"/>
    </row>
    <row r="137" spans="1:10" ht="20.100000000000001" customHeight="1" x14ac:dyDescent="0.3">
      <c r="A137" s="159" t="s">
        <v>67</v>
      </c>
      <c r="B137" s="159"/>
      <c r="C137" s="159"/>
      <c r="D137" s="159"/>
      <c r="E137" s="159"/>
      <c r="F137" s="159"/>
      <c r="G137" s="159"/>
      <c r="H137" s="159"/>
      <c r="I137" s="159"/>
      <c r="J137" s="159"/>
    </row>
    <row r="138" spans="1:10" ht="20.100000000000001" customHeight="1" x14ac:dyDescent="0.3">
      <c r="A138" s="155" t="s">
        <v>1769</v>
      </c>
      <c r="B138" s="155"/>
      <c r="C138" s="155"/>
      <c r="D138" s="155"/>
      <c r="E138" s="155"/>
      <c r="F138" s="155"/>
      <c r="G138" s="155"/>
      <c r="H138" s="61">
        <v>44990</v>
      </c>
      <c r="I138" s="60"/>
      <c r="J138" s="25"/>
    </row>
    <row r="139" spans="1:10" ht="20.100000000000001" customHeight="1" x14ac:dyDescent="0.3">
      <c r="A139" s="155" t="s">
        <v>1770</v>
      </c>
      <c r="B139" s="155"/>
      <c r="C139" s="155"/>
      <c r="D139" s="155"/>
      <c r="E139" s="155"/>
      <c r="F139" s="155"/>
      <c r="G139" s="155"/>
      <c r="H139" s="61">
        <v>52490</v>
      </c>
      <c r="I139" s="60"/>
      <c r="J139" s="25"/>
    </row>
    <row r="140" spans="1:10" ht="20.100000000000001" customHeight="1" x14ac:dyDescent="0.3">
      <c r="A140" s="155" t="s">
        <v>1412</v>
      </c>
      <c r="B140" s="155"/>
      <c r="C140" s="155"/>
      <c r="D140" s="155"/>
      <c r="E140" s="155"/>
      <c r="F140" s="155"/>
      <c r="G140" s="155"/>
      <c r="H140" s="25">
        <v>34990</v>
      </c>
      <c r="I140" s="60"/>
      <c r="J140" s="25"/>
    </row>
    <row r="141" spans="1:10" ht="20.100000000000001" customHeight="1" x14ac:dyDescent="0.3">
      <c r="A141" s="155" t="s">
        <v>911</v>
      </c>
      <c r="B141" s="155"/>
      <c r="C141" s="155"/>
      <c r="D141" s="155"/>
      <c r="E141" s="155"/>
      <c r="F141" s="155"/>
      <c r="G141" s="155"/>
      <c r="H141" s="25">
        <v>14990</v>
      </c>
      <c r="I141" s="60"/>
      <c r="J141" s="25"/>
    </row>
    <row r="142" spans="1:10" ht="20.100000000000001" customHeight="1" x14ac:dyDescent="0.3">
      <c r="A142" s="155" t="s">
        <v>1494</v>
      </c>
      <c r="B142" s="155"/>
      <c r="C142" s="155"/>
      <c r="D142" s="155"/>
      <c r="E142" s="155"/>
      <c r="F142" s="155"/>
      <c r="G142" s="155"/>
      <c r="H142" s="25">
        <v>87490</v>
      </c>
      <c r="I142" s="60"/>
      <c r="J142" s="25"/>
    </row>
    <row r="143" spans="1:10" ht="20.100000000000001" customHeight="1" x14ac:dyDescent="0.3">
      <c r="A143" s="155" t="s">
        <v>1413</v>
      </c>
      <c r="B143" s="155"/>
      <c r="C143" s="155"/>
      <c r="D143" s="155"/>
      <c r="E143" s="155"/>
      <c r="F143" s="155"/>
      <c r="G143" s="155"/>
      <c r="H143" s="25">
        <v>34990</v>
      </c>
      <c r="I143" s="60"/>
      <c r="J143" s="25"/>
    </row>
    <row r="144" spans="1:10" ht="20.100000000000001" customHeight="1" x14ac:dyDescent="0.3">
      <c r="A144" s="155" t="s">
        <v>1771</v>
      </c>
      <c r="B144" s="155"/>
      <c r="C144" s="155"/>
      <c r="D144" s="155"/>
      <c r="E144" s="155"/>
      <c r="F144" s="155"/>
      <c r="G144" s="155"/>
      <c r="H144" s="25">
        <v>2490</v>
      </c>
      <c r="I144" s="60"/>
      <c r="J144" s="25"/>
    </row>
    <row r="145" spans="1:12" ht="19.5" customHeight="1" x14ac:dyDescent="0.3">
      <c r="A145" s="160"/>
      <c r="B145" s="160"/>
      <c r="C145" s="160"/>
      <c r="D145" s="160"/>
      <c r="E145" s="160"/>
      <c r="F145" s="160"/>
      <c r="G145" s="160"/>
      <c r="H145" s="160"/>
      <c r="I145" s="160"/>
      <c r="J145" s="160"/>
    </row>
    <row r="146" spans="1:12" ht="60" customHeight="1" x14ac:dyDescent="0.3">
      <c r="A146" s="150" t="s">
        <v>1791</v>
      </c>
      <c r="B146" s="151"/>
      <c r="C146" s="151"/>
      <c r="D146" s="151"/>
      <c r="E146" s="151"/>
      <c r="F146" s="151"/>
      <c r="G146" s="151"/>
      <c r="H146" s="151"/>
      <c r="I146" s="151"/>
      <c r="J146" s="151"/>
    </row>
    <row r="147" spans="1:12" ht="41.4" x14ac:dyDescent="0.3">
      <c r="A147" s="70"/>
      <c r="B147" s="38" t="s">
        <v>2</v>
      </c>
      <c r="C147" s="4" t="s">
        <v>42</v>
      </c>
      <c r="D147" s="4" t="s">
        <v>43</v>
      </c>
      <c r="E147" s="38" t="s">
        <v>9</v>
      </c>
      <c r="F147" s="38" t="s">
        <v>10</v>
      </c>
      <c r="G147" s="4" t="s">
        <v>11</v>
      </c>
      <c r="H147" s="80" t="s">
        <v>17</v>
      </c>
      <c r="I147" s="80" t="s">
        <v>12</v>
      </c>
      <c r="J147" s="80" t="s">
        <v>18</v>
      </c>
    </row>
    <row r="148" spans="1:12" ht="24.9" customHeight="1" x14ac:dyDescent="0.3">
      <c r="A148" s="158"/>
      <c r="B148" s="65" t="s">
        <v>932</v>
      </c>
      <c r="C148" s="66" t="s">
        <v>189</v>
      </c>
      <c r="D148" s="66" t="s">
        <v>49</v>
      </c>
      <c r="E148" s="66" t="s">
        <v>909</v>
      </c>
      <c r="F148" s="66" t="s">
        <v>15</v>
      </c>
      <c r="G148" s="66" t="s">
        <v>247</v>
      </c>
      <c r="H148" s="69">
        <v>22490</v>
      </c>
      <c r="I148" s="68"/>
      <c r="J148" s="69"/>
      <c r="L148" s="12" t="s">
        <v>1789</v>
      </c>
    </row>
    <row r="149" spans="1:12" ht="24.9" customHeight="1" x14ac:dyDescent="0.3">
      <c r="A149" s="158"/>
      <c r="B149" s="65" t="s">
        <v>933</v>
      </c>
      <c r="C149" s="66" t="s">
        <v>241</v>
      </c>
      <c r="D149" s="66" t="s">
        <v>49</v>
      </c>
      <c r="E149" s="66" t="s">
        <v>909</v>
      </c>
      <c r="F149" s="66" t="s">
        <v>15</v>
      </c>
      <c r="G149" s="66" t="s">
        <v>247</v>
      </c>
      <c r="H149" s="69">
        <v>24990</v>
      </c>
      <c r="I149" s="68"/>
      <c r="J149" s="69"/>
      <c r="L149" s="12" t="s">
        <v>1789</v>
      </c>
    </row>
    <row r="150" spans="1:12" ht="24.9" customHeight="1" x14ac:dyDescent="0.3">
      <c r="A150" s="158"/>
      <c r="B150" s="65" t="s">
        <v>934</v>
      </c>
      <c r="C150" s="66" t="s">
        <v>242</v>
      </c>
      <c r="D150" s="66" t="s">
        <v>49</v>
      </c>
      <c r="E150" s="66" t="s">
        <v>909</v>
      </c>
      <c r="F150" s="66" t="s">
        <v>15</v>
      </c>
      <c r="G150" s="66" t="s">
        <v>247</v>
      </c>
      <c r="H150" s="69">
        <v>27490</v>
      </c>
      <c r="I150" s="68"/>
      <c r="J150" s="69"/>
      <c r="L150" s="12" t="s">
        <v>1789</v>
      </c>
    </row>
    <row r="151" spans="1:12" ht="24.9" customHeight="1" x14ac:dyDescent="0.3">
      <c r="A151" s="158"/>
      <c r="B151" s="65" t="s">
        <v>935</v>
      </c>
      <c r="C151" s="66" t="s">
        <v>54</v>
      </c>
      <c r="D151" s="66" t="s">
        <v>50</v>
      </c>
      <c r="E151" s="66" t="s">
        <v>909</v>
      </c>
      <c r="F151" s="66" t="s">
        <v>15</v>
      </c>
      <c r="G151" s="66" t="s">
        <v>247</v>
      </c>
      <c r="H151" s="69">
        <v>19990</v>
      </c>
      <c r="I151" s="68"/>
      <c r="J151" s="69"/>
      <c r="L151" s="12" t="s">
        <v>1789</v>
      </c>
    </row>
    <row r="152" spans="1:12" ht="24.9" customHeight="1" x14ac:dyDescent="0.3">
      <c r="A152" s="158"/>
      <c r="B152" s="72" t="s">
        <v>1776</v>
      </c>
      <c r="C152" s="119" t="s">
        <v>189</v>
      </c>
      <c r="D152" s="119" t="s">
        <v>184</v>
      </c>
      <c r="E152" s="119" t="s">
        <v>909</v>
      </c>
      <c r="F152" s="119" t="s">
        <v>15</v>
      </c>
      <c r="G152" s="119" t="s">
        <v>247</v>
      </c>
      <c r="H152" s="25">
        <v>24990</v>
      </c>
      <c r="I152" s="60"/>
      <c r="J152" s="25"/>
      <c r="L152" s="12" t="s">
        <v>1789</v>
      </c>
    </row>
    <row r="153" spans="1:12" ht="24.9" customHeight="1" x14ac:dyDescent="0.3">
      <c r="A153" s="158"/>
      <c r="B153" s="72" t="s">
        <v>1777</v>
      </c>
      <c r="C153" s="119" t="s">
        <v>241</v>
      </c>
      <c r="D153" s="119" t="s">
        <v>184</v>
      </c>
      <c r="E153" s="119" t="s">
        <v>909</v>
      </c>
      <c r="F153" s="119" t="s">
        <v>15</v>
      </c>
      <c r="G153" s="119" t="s">
        <v>247</v>
      </c>
      <c r="H153" s="25">
        <v>27490</v>
      </c>
      <c r="I153" s="60"/>
      <c r="J153" s="25"/>
      <c r="L153" s="12" t="s">
        <v>1789</v>
      </c>
    </row>
    <row r="154" spans="1:12" ht="24.9" customHeight="1" x14ac:dyDescent="0.3">
      <c r="A154" s="158"/>
      <c r="B154" s="72" t="s">
        <v>1778</v>
      </c>
      <c r="C154" s="119" t="s">
        <v>242</v>
      </c>
      <c r="D154" s="119" t="s">
        <v>184</v>
      </c>
      <c r="E154" s="119" t="s">
        <v>909</v>
      </c>
      <c r="F154" s="119" t="s">
        <v>15</v>
      </c>
      <c r="G154" s="119" t="s">
        <v>247</v>
      </c>
      <c r="H154" s="25">
        <v>32490</v>
      </c>
      <c r="I154" s="60"/>
      <c r="J154" s="25"/>
      <c r="L154" s="12" t="s">
        <v>1789</v>
      </c>
    </row>
    <row r="155" spans="1:12" ht="24.9" customHeight="1" x14ac:dyDescent="0.3">
      <c r="A155" s="158"/>
      <c r="B155" s="72" t="s">
        <v>1779</v>
      </c>
      <c r="C155" s="119" t="s">
        <v>413</v>
      </c>
      <c r="D155" s="119" t="s">
        <v>184</v>
      </c>
      <c r="E155" s="119" t="s">
        <v>909</v>
      </c>
      <c r="F155" s="119" t="s">
        <v>15</v>
      </c>
      <c r="G155" s="119" t="s">
        <v>247</v>
      </c>
      <c r="H155" s="25">
        <v>37490</v>
      </c>
      <c r="I155" s="60"/>
      <c r="J155" s="25"/>
      <c r="L155" s="12" t="s">
        <v>1789</v>
      </c>
    </row>
    <row r="156" spans="1:12" ht="24.9" customHeight="1" x14ac:dyDescent="0.3">
      <c r="A156" s="158"/>
      <c r="B156" s="72" t="s">
        <v>1780</v>
      </c>
      <c r="C156" s="119" t="s">
        <v>54</v>
      </c>
      <c r="D156" s="119" t="s">
        <v>186</v>
      </c>
      <c r="E156" s="119" t="s">
        <v>909</v>
      </c>
      <c r="F156" s="119" t="s">
        <v>15</v>
      </c>
      <c r="G156" s="119" t="s">
        <v>247</v>
      </c>
      <c r="H156" s="25">
        <v>22490</v>
      </c>
      <c r="I156" s="60"/>
      <c r="J156" s="25"/>
      <c r="L156" s="12" t="s">
        <v>1789</v>
      </c>
    </row>
    <row r="157" spans="1:12" ht="24.9" customHeight="1" x14ac:dyDescent="0.3">
      <c r="A157" s="158"/>
      <c r="B157" s="72" t="s">
        <v>936</v>
      </c>
      <c r="C157" s="70" t="s">
        <v>181</v>
      </c>
      <c r="D157" s="70" t="s">
        <v>50</v>
      </c>
      <c r="E157" s="110" t="s">
        <v>909</v>
      </c>
      <c r="F157" s="70" t="s">
        <v>13</v>
      </c>
      <c r="G157" s="70" t="s">
        <v>248</v>
      </c>
      <c r="H157" s="25">
        <v>19990</v>
      </c>
      <c r="I157" s="60"/>
      <c r="J157" s="25"/>
      <c r="L157" s="12" t="s">
        <v>1789</v>
      </c>
    </row>
    <row r="158" spans="1:12" ht="24.9" customHeight="1" x14ac:dyDescent="0.3">
      <c r="A158" s="158"/>
      <c r="B158" s="72" t="s">
        <v>937</v>
      </c>
      <c r="C158" s="70" t="s">
        <v>182</v>
      </c>
      <c r="D158" s="70" t="s">
        <v>50</v>
      </c>
      <c r="E158" s="110" t="s">
        <v>909</v>
      </c>
      <c r="F158" s="70" t="s">
        <v>13</v>
      </c>
      <c r="G158" s="70" t="s">
        <v>248</v>
      </c>
      <c r="H158" s="25">
        <v>22490</v>
      </c>
      <c r="I158" s="60"/>
      <c r="J158" s="25"/>
      <c r="L158" s="12" t="s">
        <v>1789</v>
      </c>
    </row>
    <row r="159" spans="1:12" ht="24.9" customHeight="1" x14ac:dyDescent="0.3">
      <c r="A159" s="158"/>
      <c r="B159" s="72" t="s">
        <v>1139</v>
      </c>
      <c r="C159" s="70" t="s">
        <v>59</v>
      </c>
      <c r="D159" s="70" t="s">
        <v>50</v>
      </c>
      <c r="E159" s="110" t="s">
        <v>909</v>
      </c>
      <c r="F159" s="70" t="s">
        <v>13</v>
      </c>
      <c r="G159" s="70" t="s">
        <v>248</v>
      </c>
      <c r="H159" s="25">
        <v>24990</v>
      </c>
      <c r="I159" s="60"/>
      <c r="J159" s="25"/>
      <c r="L159" s="12" t="s">
        <v>1789</v>
      </c>
    </row>
    <row r="160" spans="1:12" ht="24.9" customHeight="1" x14ac:dyDescent="0.3">
      <c r="A160" s="158"/>
      <c r="B160" s="72" t="s">
        <v>1685</v>
      </c>
      <c r="C160" s="70" t="s">
        <v>60</v>
      </c>
      <c r="D160" s="70" t="s">
        <v>50</v>
      </c>
      <c r="E160" s="110" t="s">
        <v>909</v>
      </c>
      <c r="F160" s="70" t="s">
        <v>13</v>
      </c>
      <c r="G160" s="70" t="s">
        <v>248</v>
      </c>
      <c r="H160" s="25">
        <v>29990</v>
      </c>
      <c r="I160" s="60"/>
      <c r="J160" s="25"/>
      <c r="L160" s="12" t="s">
        <v>1789</v>
      </c>
    </row>
    <row r="161" spans="1:12" ht="24.9" customHeight="1" x14ac:dyDescent="0.3">
      <c r="A161" s="158"/>
      <c r="B161" s="72" t="s">
        <v>1140</v>
      </c>
      <c r="C161" s="70" t="s">
        <v>183</v>
      </c>
      <c r="D161" s="70" t="s">
        <v>51</v>
      </c>
      <c r="E161" s="110" t="s">
        <v>909</v>
      </c>
      <c r="F161" s="70" t="s">
        <v>13</v>
      </c>
      <c r="G161" s="70" t="s">
        <v>248</v>
      </c>
      <c r="H161" s="25">
        <v>19990</v>
      </c>
      <c r="I161" s="60"/>
      <c r="J161" s="25"/>
      <c r="L161" s="12" t="s">
        <v>1789</v>
      </c>
    </row>
    <row r="162" spans="1:12" ht="24.9" customHeight="1" x14ac:dyDescent="0.3">
      <c r="A162" s="158"/>
      <c r="B162" s="72" t="s">
        <v>1141</v>
      </c>
      <c r="C162" s="70" t="s">
        <v>61</v>
      </c>
      <c r="D162" s="70" t="s">
        <v>51</v>
      </c>
      <c r="E162" s="110" t="s">
        <v>909</v>
      </c>
      <c r="F162" s="70" t="s">
        <v>13</v>
      </c>
      <c r="G162" s="70" t="s">
        <v>248</v>
      </c>
      <c r="H162" s="25">
        <v>22490</v>
      </c>
      <c r="I162" s="60"/>
      <c r="J162" s="25"/>
      <c r="L162" s="12" t="s">
        <v>1789</v>
      </c>
    </row>
    <row r="163" spans="1:12" ht="24.9" customHeight="1" x14ac:dyDescent="0.3">
      <c r="A163" s="158"/>
      <c r="B163" s="72" t="s">
        <v>1686</v>
      </c>
      <c r="C163" s="70" t="s">
        <v>295</v>
      </c>
      <c r="D163" s="70" t="s">
        <v>51</v>
      </c>
      <c r="E163" s="110" t="s">
        <v>909</v>
      </c>
      <c r="F163" s="70" t="s">
        <v>13</v>
      </c>
      <c r="G163" s="70" t="s">
        <v>248</v>
      </c>
      <c r="H163" s="25">
        <v>24990</v>
      </c>
      <c r="I163" s="60"/>
      <c r="J163" s="25"/>
      <c r="L163" s="12" t="s">
        <v>1789</v>
      </c>
    </row>
    <row r="164" spans="1:12" ht="20.100000000000001" customHeight="1" x14ac:dyDescent="0.3">
      <c r="A164" s="159" t="s">
        <v>67</v>
      </c>
      <c r="B164" s="159"/>
      <c r="C164" s="159"/>
      <c r="D164" s="159"/>
      <c r="E164" s="159"/>
      <c r="F164" s="159"/>
      <c r="G164" s="159"/>
      <c r="H164" s="159"/>
      <c r="I164" s="159"/>
      <c r="J164" s="159"/>
    </row>
    <row r="165" spans="1:12" ht="20.100000000000001" customHeight="1" x14ac:dyDescent="0.3">
      <c r="A165" s="155" t="s">
        <v>1775</v>
      </c>
      <c r="B165" s="155"/>
      <c r="C165" s="155"/>
      <c r="D165" s="155"/>
      <c r="E165" s="155"/>
      <c r="F165" s="155"/>
      <c r="G165" s="155"/>
      <c r="H165" s="25">
        <v>990</v>
      </c>
      <c r="I165" s="60"/>
      <c r="J165" s="25"/>
    </row>
    <row r="166" spans="1:12" ht="20.100000000000001" customHeight="1" x14ac:dyDescent="0.3">
      <c r="A166" s="155" t="s">
        <v>910</v>
      </c>
      <c r="B166" s="155"/>
      <c r="C166" s="155"/>
      <c r="D166" s="155"/>
      <c r="E166" s="155"/>
      <c r="F166" s="155"/>
      <c r="G166" s="155"/>
      <c r="H166" s="25">
        <v>2490</v>
      </c>
      <c r="I166" s="60"/>
      <c r="J166" s="25"/>
    </row>
    <row r="167" spans="1:12" ht="20.100000000000001" customHeight="1" x14ac:dyDescent="0.3">
      <c r="A167" s="155" t="s">
        <v>911</v>
      </c>
      <c r="B167" s="155"/>
      <c r="C167" s="155"/>
      <c r="D167" s="155"/>
      <c r="E167" s="155"/>
      <c r="F167" s="155"/>
      <c r="G167" s="155"/>
      <c r="H167" s="25">
        <v>4990</v>
      </c>
      <c r="I167" s="60"/>
      <c r="J167" s="25"/>
    </row>
    <row r="168" spans="1:12" ht="19.5" customHeight="1" x14ac:dyDescent="0.3">
      <c r="A168" s="160"/>
      <c r="B168" s="160"/>
      <c r="C168" s="160"/>
      <c r="D168" s="160"/>
      <c r="E168" s="160"/>
      <c r="F168" s="160"/>
      <c r="G168" s="160"/>
      <c r="H168" s="160"/>
      <c r="I168" s="160"/>
      <c r="J168" s="160"/>
    </row>
    <row r="169" spans="1:12" ht="39.9" customHeight="1" x14ac:dyDescent="0.3">
      <c r="A169" s="150" t="s">
        <v>1688</v>
      </c>
      <c r="B169" s="151"/>
      <c r="C169" s="151"/>
      <c r="D169" s="151"/>
      <c r="E169" s="151"/>
      <c r="F169" s="151"/>
      <c r="G169" s="151"/>
      <c r="H169" s="151"/>
      <c r="I169" s="151"/>
      <c r="J169" s="151"/>
    </row>
    <row r="170" spans="1:12" ht="41.4" x14ac:dyDescent="0.3">
      <c r="A170" s="70"/>
      <c r="B170" s="38" t="s">
        <v>2</v>
      </c>
      <c r="C170" s="4" t="s">
        <v>42</v>
      </c>
      <c r="D170" s="4" t="s">
        <v>43</v>
      </c>
      <c r="E170" s="38" t="s">
        <v>9</v>
      </c>
      <c r="F170" s="38" t="s">
        <v>10</v>
      </c>
      <c r="G170" s="4" t="s">
        <v>11</v>
      </c>
      <c r="H170" s="80" t="s">
        <v>17</v>
      </c>
      <c r="I170" s="80"/>
      <c r="J170" s="80"/>
    </row>
    <row r="171" spans="1:12" ht="24.9" customHeight="1" x14ac:dyDescent="0.3">
      <c r="A171" s="158"/>
      <c r="B171" s="72" t="s">
        <v>1142</v>
      </c>
      <c r="C171" s="70" t="s">
        <v>102</v>
      </c>
      <c r="D171" s="70" t="s">
        <v>50</v>
      </c>
      <c r="E171" s="70" t="s">
        <v>909</v>
      </c>
      <c r="F171" s="70" t="s">
        <v>13</v>
      </c>
      <c r="G171" s="70" t="s">
        <v>1149</v>
      </c>
      <c r="H171" s="25">
        <v>54990</v>
      </c>
      <c r="I171" s="60"/>
      <c r="J171" s="25"/>
      <c r="L171" s="12" t="s">
        <v>1790</v>
      </c>
    </row>
    <row r="172" spans="1:12" ht="24.9" customHeight="1" x14ac:dyDescent="0.3">
      <c r="A172" s="158"/>
      <c r="B172" s="72" t="s">
        <v>1143</v>
      </c>
      <c r="C172" s="70" t="s">
        <v>161</v>
      </c>
      <c r="D172" s="70" t="s">
        <v>50</v>
      </c>
      <c r="E172" s="70" t="s">
        <v>909</v>
      </c>
      <c r="F172" s="70" t="s">
        <v>13</v>
      </c>
      <c r="G172" s="70" t="s">
        <v>1149</v>
      </c>
      <c r="H172" s="25">
        <v>72490</v>
      </c>
      <c r="I172" s="60"/>
      <c r="J172" s="25"/>
    </row>
    <row r="173" spans="1:12" ht="24.9" customHeight="1" x14ac:dyDescent="0.3">
      <c r="A173" s="158"/>
      <c r="B173" s="72" t="s">
        <v>1144</v>
      </c>
      <c r="C173" s="70" t="s">
        <v>651</v>
      </c>
      <c r="D173" s="70" t="s">
        <v>50</v>
      </c>
      <c r="E173" s="70" t="s">
        <v>909</v>
      </c>
      <c r="F173" s="70" t="s">
        <v>13</v>
      </c>
      <c r="G173" s="70" t="s">
        <v>1149</v>
      </c>
      <c r="H173" s="25">
        <v>89990</v>
      </c>
      <c r="I173" s="60"/>
      <c r="J173" s="25"/>
    </row>
    <row r="174" spans="1:12" ht="24.9" customHeight="1" x14ac:dyDescent="0.3">
      <c r="A174" s="158"/>
      <c r="B174" s="72" t="s">
        <v>1145</v>
      </c>
      <c r="C174" s="70" t="s">
        <v>652</v>
      </c>
      <c r="D174" s="70" t="s">
        <v>51</v>
      </c>
      <c r="E174" s="70" t="s">
        <v>909</v>
      </c>
      <c r="F174" s="70" t="s">
        <v>13</v>
      </c>
      <c r="G174" s="70" t="s">
        <v>1149</v>
      </c>
      <c r="H174" s="25">
        <v>72490</v>
      </c>
      <c r="I174" s="60"/>
      <c r="J174" s="25"/>
    </row>
    <row r="175" spans="1:12" ht="24.9" customHeight="1" x14ac:dyDescent="0.3">
      <c r="A175" s="158"/>
      <c r="B175" s="72" t="s">
        <v>1146</v>
      </c>
      <c r="C175" s="70" t="s">
        <v>102</v>
      </c>
      <c r="D175" s="70" t="s">
        <v>50</v>
      </c>
      <c r="E175" s="70" t="s">
        <v>909</v>
      </c>
      <c r="F175" s="70" t="s">
        <v>15</v>
      </c>
      <c r="G175" s="70" t="s">
        <v>1149</v>
      </c>
      <c r="H175" s="25">
        <v>74990</v>
      </c>
      <c r="I175" s="60"/>
      <c r="J175" s="25"/>
    </row>
    <row r="176" spans="1:12" ht="24.9" customHeight="1" x14ac:dyDescent="0.3">
      <c r="A176" s="158"/>
      <c r="B176" s="72" t="s">
        <v>1147</v>
      </c>
      <c r="C176" s="70" t="s">
        <v>161</v>
      </c>
      <c r="D176" s="70" t="s">
        <v>50</v>
      </c>
      <c r="E176" s="70" t="s">
        <v>909</v>
      </c>
      <c r="F176" s="70" t="s">
        <v>15</v>
      </c>
      <c r="G176" s="70" t="s">
        <v>1149</v>
      </c>
      <c r="H176" s="25">
        <v>92490</v>
      </c>
      <c r="I176" s="60"/>
      <c r="J176" s="25"/>
    </row>
    <row r="177" spans="1:12" ht="24.9" customHeight="1" x14ac:dyDescent="0.3">
      <c r="A177" s="158"/>
      <c r="B177" s="72" t="s">
        <v>1148</v>
      </c>
      <c r="C177" s="70" t="s">
        <v>651</v>
      </c>
      <c r="D177" s="70" t="s">
        <v>50</v>
      </c>
      <c r="E177" s="70" t="s">
        <v>909</v>
      </c>
      <c r="F177" s="70" t="s">
        <v>15</v>
      </c>
      <c r="G177" s="70" t="s">
        <v>1149</v>
      </c>
      <c r="H177" s="25">
        <v>109990</v>
      </c>
      <c r="I177" s="60"/>
      <c r="J177" s="25"/>
      <c r="L177" s="12" t="s">
        <v>1818</v>
      </c>
    </row>
    <row r="178" spans="1:12" ht="20.100000000000001" customHeight="1" x14ac:dyDescent="0.3">
      <c r="A178" s="159" t="s">
        <v>67</v>
      </c>
      <c r="B178" s="159"/>
      <c r="C178" s="159"/>
      <c r="D178" s="159"/>
      <c r="E178" s="159"/>
      <c r="F178" s="159"/>
      <c r="G178" s="159"/>
      <c r="H178" s="159"/>
      <c r="I178" s="159"/>
      <c r="J178" s="159"/>
    </row>
    <row r="179" spans="1:12" ht="20.100000000000001" customHeight="1" x14ac:dyDescent="0.3">
      <c r="A179" s="155" t="s">
        <v>1416</v>
      </c>
      <c r="B179" s="155"/>
      <c r="C179" s="155"/>
      <c r="D179" s="155"/>
      <c r="E179" s="155"/>
      <c r="F179" s="155"/>
      <c r="G179" s="155"/>
      <c r="H179" s="25">
        <v>12490</v>
      </c>
      <c r="I179" s="60"/>
      <c r="J179" s="25"/>
    </row>
    <row r="180" spans="1:12" ht="20.100000000000001" customHeight="1" x14ac:dyDescent="0.3">
      <c r="A180" s="155" t="s">
        <v>1782</v>
      </c>
      <c r="B180" s="155"/>
      <c r="C180" s="155"/>
      <c r="D180" s="155"/>
      <c r="E180" s="155"/>
      <c r="F180" s="155"/>
      <c r="G180" s="155"/>
      <c r="H180" s="25">
        <v>4990</v>
      </c>
      <c r="I180" s="60"/>
      <c r="J180" s="25"/>
    </row>
    <row r="181" spans="1:12" ht="20.100000000000001" customHeight="1" x14ac:dyDescent="0.3">
      <c r="A181" s="155" t="s">
        <v>1783</v>
      </c>
      <c r="B181" s="155"/>
      <c r="C181" s="155"/>
      <c r="D181" s="155"/>
      <c r="E181" s="155"/>
      <c r="F181" s="155"/>
      <c r="G181" s="155"/>
      <c r="H181" s="25">
        <v>12490</v>
      </c>
      <c r="I181" s="60"/>
      <c r="J181" s="25"/>
    </row>
    <row r="182" spans="1:12" ht="20.100000000000001" customHeight="1" x14ac:dyDescent="0.3">
      <c r="A182" s="155" t="s">
        <v>1781</v>
      </c>
      <c r="B182" s="155"/>
      <c r="C182" s="155"/>
      <c r="D182" s="155"/>
      <c r="E182" s="155"/>
      <c r="F182" s="155"/>
      <c r="G182" s="155"/>
      <c r="H182" s="25">
        <v>7000</v>
      </c>
      <c r="I182" s="60"/>
      <c r="J182" s="25"/>
    </row>
    <row r="183" spans="1:12" ht="20.100000000000001" customHeight="1" x14ac:dyDescent="0.3">
      <c r="A183" s="155" t="s">
        <v>1775</v>
      </c>
      <c r="B183" s="155"/>
      <c r="C183" s="155"/>
      <c r="D183" s="155"/>
      <c r="E183" s="155"/>
      <c r="F183" s="155"/>
      <c r="G183" s="155"/>
      <c r="H183" s="25">
        <v>12490</v>
      </c>
      <c r="I183" s="60"/>
      <c r="J183" s="25"/>
    </row>
    <row r="184" spans="1:12" ht="19.5" customHeight="1" x14ac:dyDescent="0.3">
      <c r="A184" s="160"/>
      <c r="B184" s="160"/>
      <c r="C184" s="160"/>
      <c r="D184" s="160"/>
      <c r="E184" s="160"/>
      <c r="F184" s="160"/>
      <c r="G184" s="160"/>
      <c r="H184" s="160"/>
      <c r="I184" s="160"/>
      <c r="J184" s="160"/>
    </row>
    <row r="185" spans="1:12" ht="39.9" customHeight="1" x14ac:dyDescent="0.3">
      <c r="A185" s="150" t="s">
        <v>1689</v>
      </c>
      <c r="B185" s="151"/>
      <c r="C185" s="151"/>
      <c r="D185" s="151"/>
      <c r="E185" s="151"/>
      <c r="F185" s="151"/>
      <c r="G185" s="151"/>
      <c r="H185" s="151"/>
      <c r="I185" s="151"/>
      <c r="J185" s="151"/>
    </row>
    <row r="186" spans="1:12" ht="41.4" x14ac:dyDescent="0.3">
      <c r="A186" s="70"/>
      <c r="B186" s="38" t="s">
        <v>2</v>
      </c>
      <c r="C186" s="4" t="s">
        <v>42</v>
      </c>
      <c r="D186" s="4" t="s">
        <v>43</v>
      </c>
      <c r="E186" s="38" t="s">
        <v>9</v>
      </c>
      <c r="F186" s="38" t="s">
        <v>10</v>
      </c>
      <c r="G186" s="4" t="s">
        <v>11</v>
      </c>
      <c r="H186" s="80" t="s">
        <v>17</v>
      </c>
      <c r="I186" s="80"/>
      <c r="J186" s="80"/>
    </row>
    <row r="187" spans="1:12" ht="30" customHeight="1" x14ac:dyDescent="0.3">
      <c r="A187" s="158"/>
      <c r="B187" s="72" t="s">
        <v>1150</v>
      </c>
      <c r="C187" s="70" t="s">
        <v>102</v>
      </c>
      <c r="D187" s="70" t="s">
        <v>51</v>
      </c>
      <c r="E187" s="70" t="s">
        <v>909</v>
      </c>
      <c r="F187" s="70" t="s">
        <v>13</v>
      </c>
      <c r="G187" s="70" t="s">
        <v>1149</v>
      </c>
      <c r="H187" s="25">
        <v>34990</v>
      </c>
      <c r="I187" s="60"/>
      <c r="J187" s="25"/>
    </row>
    <row r="188" spans="1:12" ht="30" customHeight="1" x14ac:dyDescent="0.3">
      <c r="A188" s="158"/>
      <c r="B188" s="72" t="s">
        <v>1151</v>
      </c>
      <c r="C188" s="70" t="s">
        <v>161</v>
      </c>
      <c r="D188" s="70" t="s">
        <v>51</v>
      </c>
      <c r="E188" s="70" t="s">
        <v>909</v>
      </c>
      <c r="F188" s="70" t="s">
        <v>13</v>
      </c>
      <c r="G188" s="70" t="s">
        <v>1149</v>
      </c>
      <c r="H188" s="25">
        <v>42490</v>
      </c>
      <c r="I188" s="60"/>
      <c r="J188" s="25"/>
    </row>
    <row r="189" spans="1:12" ht="30" customHeight="1" x14ac:dyDescent="0.3">
      <c r="A189" s="158"/>
      <c r="B189" s="72" t="s">
        <v>1152</v>
      </c>
      <c r="C189" s="70" t="s">
        <v>651</v>
      </c>
      <c r="D189" s="70" t="s">
        <v>51</v>
      </c>
      <c r="E189" s="70" t="s">
        <v>909</v>
      </c>
      <c r="F189" s="70" t="s">
        <v>13</v>
      </c>
      <c r="G189" s="70" t="s">
        <v>1149</v>
      </c>
      <c r="H189" s="25">
        <v>49990</v>
      </c>
      <c r="I189" s="60"/>
      <c r="J189" s="25"/>
    </row>
    <row r="190" spans="1:12" ht="30" customHeight="1" x14ac:dyDescent="0.3">
      <c r="A190" s="158"/>
      <c r="B190" s="72" t="s">
        <v>1153</v>
      </c>
      <c r="C190" s="70" t="s">
        <v>652</v>
      </c>
      <c r="D190" s="70" t="s">
        <v>485</v>
      </c>
      <c r="E190" s="70" t="s">
        <v>909</v>
      </c>
      <c r="F190" s="70" t="s">
        <v>13</v>
      </c>
      <c r="G190" s="70" t="s">
        <v>1149</v>
      </c>
      <c r="H190" s="25">
        <v>42490</v>
      </c>
      <c r="I190" s="60"/>
      <c r="J190" s="25"/>
    </row>
    <row r="191" spans="1:12" ht="20.100000000000001" customHeight="1" x14ac:dyDescent="0.3">
      <c r="A191" s="159" t="s">
        <v>67</v>
      </c>
      <c r="B191" s="159"/>
      <c r="C191" s="159"/>
      <c r="D191" s="159"/>
      <c r="E191" s="159"/>
      <c r="F191" s="159"/>
      <c r="G191" s="159"/>
      <c r="H191" s="159"/>
      <c r="I191" s="159"/>
      <c r="J191" s="159"/>
    </row>
    <row r="192" spans="1:12" ht="20.100000000000001" customHeight="1" x14ac:dyDescent="0.3">
      <c r="A192" s="155" t="s">
        <v>1416</v>
      </c>
      <c r="B192" s="155"/>
      <c r="C192" s="155"/>
      <c r="D192" s="155"/>
      <c r="E192" s="155"/>
      <c r="F192" s="155"/>
      <c r="G192" s="155"/>
      <c r="H192" s="25">
        <v>12490</v>
      </c>
      <c r="I192" s="60"/>
      <c r="J192" s="25"/>
    </row>
    <row r="193" spans="1:10" ht="20.100000000000001" customHeight="1" x14ac:dyDescent="0.3">
      <c r="A193" s="155" t="s">
        <v>911</v>
      </c>
      <c r="B193" s="155"/>
      <c r="C193" s="155"/>
      <c r="D193" s="155"/>
      <c r="E193" s="155"/>
      <c r="F193" s="155"/>
      <c r="G193" s="155"/>
      <c r="H193" s="25">
        <v>4990</v>
      </c>
      <c r="I193" s="60"/>
      <c r="J193" s="25"/>
    </row>
    <row r="194" spans="1:10" ht="20.100000000000001" customHeight="1" x14ac:dyDescent="0.3">
      <c r="A194" s="155" t="s">
        <v>1781</v>
      </c>
      <c r="B194" s="155"/>
      <c r="C194" s="155"/>
      <c r="D194" s="155"/>
      <c r="E194" s="155"/>
      <c r="F194" s="155"/>
      <c r="G194" s="155"/>
      <c r="H194" s="25">
        <v>7000</v>
      </c>
      <c r="I194" s="60"/>
      <c r="J194" s="25"/>
    </row>
    <row r="195" spans="1:10" ht="20.100000000000001" customHeight="1" x14ac:dyDescent="0.3">
      <c r="A195" s="155" t="s">
        <v>1775</v>
      </c>
      <c r="B195" s="155"/>
      <c r="C195" s="155"/>
      <c r="D195" s="155"/>
      <c r="E195" s="155"/>
      <c r="F195" s="155"/>
      <c r="G195" s="155"/>
      <c r="H195" s="25">
        <v>12490</v>
      </c>
      <c r="I195" s="60"/>
      <c r="J195" s="25"/>
    </row>
    <row r="196" spans="1:10" ht="19.5" customHeight="1" x14ac:dyDescent="0.3">
      <c r="A196" s="160"/>
      <c r="B196" s="160"/>
      <c r="C196" s="160"/>
      <c r="D196" s="160"/>
      <c r="E196" s="160"/>
      <c r="F196" s="160"/>
      <c r="G196" s="160"/>
      <c r="H196" s="160"/>
      <c r="I196" s="160"/>
      <c r="J196" s="160"/>
    </row>
    <row r="197" spans="1:10" ht="39.9" customHeight="1" x14ac:dyDescent="0.3">
      <c r="A197" s="150" t="s">
        <v>1690</v>
      </c>
      <c r="B197" s="151"/>
      <c r="C197" s="151"/>
      <c r="D197" s="151"/>
      <c r="E197" s="151"/>
      <c r="F197" s="151"/>
      <c r="G197" s="151"/>
      <c r="H197" s="151"/>
      <c r="I197" s="151"/>
      <c r="J197" s="151"/>
    </row>
    <row r="198" spans="1:10" ht="41.4" x14ac:dyDescent="0.3">
      <c r="A198" s="70"/>
      <c r="B198" s="38" t="s">
        <v>2</v>
      </c>
      <c r="C198" s="4" t="s">
        <v>42</v>
      </c>
      <c r="D198" s="4" t="s">
        <v>43</v>
      </c>
      <c r="E198" s="38" t="s">
        <v>9</v>
      </c>
      <c r="F198" s="38" t="s">
        <v>10</v>
      </c>
      <c r="G198" s="4" t="s">
        <v>11</v>
      </c>
      <c r="H198" s="80" t="s">
        <v>17</v>
      </c>
      <c r="I198" s="80"/>
      <c r="J198" s="80"/>
    </row>
    <row r="199" spans="1:10" ht="39.9" customHeight="1" x14ac:dyDescent="0.3">
      <c r="A199" s="158"/>
      <c r="B199" s="72" t="s">
        <v>1155</v>
      </c>
      <c r="C199" s="70" t="s">
        <v>62</v>
      </c>
      <c r="D199" s="70" t="s">
        <v>196</v>
      </c>
      <c r="E199" s="70" t="s">
        <v>1154</v>
      </c>
      <c r="F199" s="70" t="s">
        <v>13</v>
      </c>
      <c r="G199" s="70" t="s">
        <v>1149</v>
      </c>
      <c r="H199" s="25">
        <v>29990</v>
      </c>
      <c r="I199" s="60"/>
      <c r="J199" s="25"/>
    </row>
    <row r="200" spans="1:10" ht="39.9" customHeight="1" x14ac:dyDescent="0.3">
      <c r="A200" s="158"/>
      <c r="B200" s="72" t="s">
        <v>1156</v>
      </c>
      <c r="C200" s="70" t="s">
        <v>177</v>
      </c>
      <c r="D200" s="70" t="s">
        <v>180</v>
      </c>
      <c r="E200" s="70" t="s">
        <v>1154</v>
      </c>
      <c r="F200" s="70" t="s">
        <v>13</v>
      </c>
      <c r="G200" s="70" t="s">
        <v>1149</v>
      </c>
      <c r="H200" s="25">
        <v>29990</v>
      </c>
      <c r="I200" s="60"/>
      <c r="J200" s="25"/>
    </row>
    <row r="201" spans="1:10" ht="39.9" customHeight="1" x14ac:dyDescent="0.3">
      <c r="A201" s="158"/>
      <c r="B201" s="72" t="s">
        <v>1157</v>
      </c>
      <c r="C201" s="70" t="s">
        <v>66</v>
      </c>
      <c r="D201" s="70" t="s">
        <v>486</v>
      </c>
      <c r="E201" s="70" t="s">
        <v>1154</v>
      </c>
      <c r="F201" s="70" t="s">
        <v>13</v>
      </c>
      <c r="G201" s="70" t="s">
        <v>1149</v>
      </c>
      <c r="H201" s="25">
        <v>29990</v>
      </c>
      <c r="I201" s="60"/>
      <c r="J201" s="25"/>
    </row>
    <row r="202" spans="1:10" ht="20.100000000000001" customHeight="1" x14ac:dyDescent="0.3">
      <c r="A202" s="156" t="s">
        <v>67</v>
      </c>
      <c r="B202" s="157"/>
      <c r="C202" s="157"/>
      <c r="D202" s="157"/>
      <c r="E202" s="157"/>
      <c r="F202" s="157"/>
      <c r="G202" s="157"/>
      <c r="H202" s="157"/>
      <c r="I202" s="157"/>
      <c r="J202" s="157"/>
    </row>
    <row r="203" spans="1:10" ht="20.100000000000001" customHeight="1" x14ac:dyDescent="0.3">
      <c r="A203" s="155" t="s">
        <v>1416</v>
      </c>
      <c r="B203" s="155"/>
      <c r="C203" s="155"/>
      <c r="D203" s="155"/>
      <c r="E203" s="155"/>
      <c r="F203" s="155"/>
      <c r="G203" s="155"/>
      <c r="H203" s="25">
        <v>12490</v>
      </c>
      <c r="I203" s="60"/>
      <c r="J203" s="25"/>
    </row>
    <row r="204" spans="1:10" ht="20.100000000000001" customHeight="1" x14ac:dyDescent="0.3">
      <c r="A204" s="155" t="s">
        <v>911</v>
      </c>
      <c r="B204" s="155"/>
      <c r="C204" s="155"/>
      <c r="D204" s="155"/>
      <c r="E204" s="155"/>
      <c r="F204" s="155"/>
      <c r="G204" s="155"/>
      <c r="H204" s="25">
        <v>4990</v>
      </c>
      <c r="I204" s="60"/>
      <c r="J204" s="25"/>
    </row>
    <row r="205" spans="1:10" ht="20.100000000000001" customHeight="1" x14ac:dyDescent="0.3">
      <c r="A205" s="155" t="s">
        <v>1781</v>
      </c>
      <c r="B205" s="155"/>
      <c r="C205" s="155"/>
      <c r="D205" s="155"/>
      <c r="E205" s="155"/>
      <c r="F205" s="155"/>
      <c r="G205" s="155"/>
      <c r="H205" s="25">
        <v>7000</v>
      </c>
      <c r="I205" s="60"/>
      <c r="J205" s="25"/>
    </row>
    <row r="206" spans="1:10" ht="20.100000000000001" customHeight="1" x14ac:dyDescent="0.3">
      <c r="A206" s="155" t="s">
        <v>1775</v>
      </c>
      <c r="B206" s="155"/>
      <c r="C206" s="155"/>
      <c r="D206" s="155"/>
      <c r="E206" s="155"/>
      <c r="F206" s="155"/>
      <c r="G206" s="155"/>
      <c r="H206" s="25">
        <v>12490</v>
      </c>
      <c r="I206" s="60"/>
      <c r="J206" s="25"/>
    </row>
    <row r="207" spans="1:10" ht="20.100000000000001" customHeight="1" x14ac:dyDescent="0.3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</row>
    <row r="8356" spans="7:7" x14ac:dyDescent="0.3">
      <c r="G8356" s="1">
        <v>313960</v>
      </c>
    </row>
    <row r="9852" spans="13:13" x14ac:dyDescent="0.3">
      <c r="M9852" s="1">
        <v>3434</v>
      </c>
    </row>
    <row r="10266" spans="16:16" x14ac:dyDescent="0.3">
      <c r="P10266" s="77" t="s">
        <v>1883</v>
      </c>
    </row>
  </sheetData>
  <mergeCells count="108">
    <mergeCell ref="A168:J168"/>
    <mergeCell ref="A178:J178"/>
    <mergeCell ref="A184:J184"/>
    <mergeCell ref="A194:G194"/>
    <mergeCell ref="A28:J28"/>
    <mergeCell ref="A22:G22"/>
    <mergeCell ref="A50:G50"/>
    <mergeCell ref="A51:G51"/>
    <mergeCell ref="A52:G52"/>
    <mergeCell ref="A26:A27"/>
    <mergeCell ref="A122:J122"/>
    <mergeCell ref="A145:J145"/>
    <mergeCell ref="A137:J137"/>
    <mergeCell ref="A97:J97"/>
    <mergeCell ref="A101:J101"/>
    <mergeCell ref="A117:J117"/>
    <mergeCell ref="A81:J81"/>
    <mergeCell ref="A83:A96"/>
    <mergeCell ref="A123:J123"/>
    <mergeCell ref="A98:G98"/>
    <mergeCell ref="A99:G99"/>
    <mergeCell ref="A100:G100"/>
    <mergeCell ref="A102:J102"/>
    <mergeCell ref="A118:G118"/>
    <mergeCell ref="A119:G119"/>
    <mergeCell ref="A121:G121"/>
    <mergeCell ref="A104:A116"/>
    <mergeCell ref="A125:A136"/>
    <mergeCell ref="A1:J1"/>
    <mergeCell ref="A4:J4"/>
    <mergeCell ref="A6:G6"/>
    <mergeCell ref="A24:J24"/>
    <mergeCell ref="A5:G5"/>
    <mergeCell ref="A8:J8"/>
    <mergeCell ref="A10:A14"/>
    <mergeCell ref="A19:G19"/>
    <mergeCell ref="A20:G20"/>
    <mergeCell ref="A21:G21"/>
    <mergeCell ref="A7:J7"/>
    <mergeCell ref="A15:J15"/>
    <mergeCell ref="A23:J23"/>
    <mergeCell ref="A74:G74"/>
    <mergeCell ref="A76:G76"/>
    <mergeCell ref="A77:G77"/>
    <mergeCell ref="A78:G78"/>
    <mergeCell ref="A79:G79"/>
    <mergeCell ref="A80:J80"/>
    <mergeCell ref="A71:J71"/>
    <mergeCell ref="A29:G29"/>
    <mergeCell ref="A33:G33"/>
    <mergeCell ref="A34:G34"/>
    <mergeCell ref="A35:G35"/>
    <mergeCell ref="A54:J54"/>
    <mergeCell ref="A56:A70"/>
    <mergeCell ref="A37:J37"/>
    <mergeCell ref="A39:A44"/>
    <mergeCell ref="A49:G49"/>
    <mergeCell ref="A36:J36"/>
    <mergeCell ref="A45:J45"/>
    <mergeCell ref="A53:J53"/>
    <mergeCell ref="A206:G206"/>
    <mergeCell ref="A207:J207"/>
    <mergeCell ref="A192:G192"/>
    <mergeCell ref="A195:G195"/>
    <mergeCell ref="A197:J197"/>
    <mergeCell ref="A199:A201"/>
    <mergeCell ref="A16:G16"/>
    <mergeCell ref="A17:G17"/>
    <mergeCell ref="A18:G18"/>
    <mergeCell ref="A30:G30"/>
    <mergeCell ref="A31:G31"/>
    <mergeCell ref="A32:G32"/>
    <mergeCell ref="A46:G46"/>
    <mergeCell ref="A47:G47"/>
    <mergeCell ref="A48:G48"/>
    <mergeCell ref="A72:G72"/>
    <mergeCell ref="A73:G73"/>
    <mergeCell ref="A75:G75"/>
    <mergeCell ref="A141:G141"/>
    <mergeCell ref="A143:G143"/>
    <mergeCell ref="A144:G144"/>
    <mergeCell ref="A146:J146"/>
    <mergeCell ref="A148:A163"/>
    <mergeCell ref="A187:A190"/>
    <mergeCell ref="A204:G204"/>
    <mergeCell ref="A205:G205"/>
    <mergeCell ref="A138:G138"/>
    <mergeCell ref="A139:G139"/>
    <mergeCell ref="A140:G140"/>
    <mergeCell ref="A180:G180"/>
    <mergeCell ref="A182:G182"/>
    <mergeCell ref="A181:G181"/>
    <mergeCell ref="A120:G120"/>
    <mergeCell ref="A193:G193"/>
    <mergeCell ref="A202:J202"/>
    <mergeCell ref="A203:G203"/>
    <mergeCell ref="A165:G165"/>
    <mergeCell ref="A166:G166"/>
    <mergeCell ref="A167:G167"/>
    <mergeCell ref="A169:J169"/>
    <mergeCell ref="A171:A177"/>
    <mergeCell ref="A179:G179"/>
    <mergeCell ref="A183:G183"/>
    <mergeCell ref="A185:J185"/>
    <mergeCell ref="A142:G142"/>
    <mergeCell ref="A191:J191"/>
    <mergeCell ref="A196:J196"/>
    <mergeCell ref="A164:J164"/>
  </mergeCells>
  <hyperlinks>
    <hyperlink ref="B62" r:id="rId1"/>
    <hyperlink ref="B63" r:id="rId2"/>
    <hyperlink ref="B68" r:id="rId3"/>
    <hyperlink ref="B69" r:id="rId4"/>
    <hyperlink ref="B70" r:id="rId5"/>
    <hyperlink ref="B83" r:id="rId6"/>
    <hyperlink ref="B84" r:id="rId7"/>
    <hyperlink ref="B85" r:id="rId8"/>
    <hyperlink ref="B88" r:id="rId9"/>
    <hyperlink ref="B89" r:id="rId10"/>
    <hyperlink ref="B90" r:id="rId11"/>
    <hyperlink ref="B94" r:id="rId12"/>
    <hyperlink ref="B95" r:id="rId13"/>
    <hyperlink ref="B26" r:id="rId14"/>
    <hyperlink ref="B27" r:id="rId15"/>
    <hyperlink ref="B87" r:id="rId16"/>
    <hyperlink ref="B104" r:id="rId17"/>
    <hyperlink ref="B105" r:id="rId18"/>
    <hyperlink ref="B106" r:id="rId19"/>
    <hyperlink ref="B108" r:id="rId20"/>
    <hyperlink ref="B109" r:id="rId21"/>
    <hyperlink ref="B125" r:id="rId22"/>
    <hyperlink ref="B126" r:id="rId23"/>
    <hyperlink ref="B127" r:id="rId24"/>
    <hyperlink ref="B131" r:id="rId25"/>
    <hyperlink ref="B132" r:id="rId26"/>
    <hyperlink ref="B133" r:id="rId27"/>
    <hyperlink ref="B134" r:id="rId28"/>
    <hyperlink ref="B136" r:id="rId29"/>
    <hyperlink ref="B128" r:id="rId30"/>
    <hyperlink ref="B129" r:id="rId31"/>
    <hyperlink ref="B130" r:id="rId32"/>
    <hyperlink ref="B135" r:id="rId33"/>
    <hyperlink ref="B93" r:id="rId34"/>
    <hyperlink ref="B171" r:id="rId35"/>
    <hyperlink ref="B172" r:id="rId36"/>
    <hyperlink ref="B173" r:id="rId37"/>
    <hyperlink ref="B174" r:id="rId38"/>
    <hyperlink ref="B175" r:id="rId39"/>
    <hyperlink ref="B176" r:id="rId40"/>
    <hyperlink ref="B177" r:id="rId41"/>
    <hyperlink ref="B187" r:id="rId42"/>
    <hyperlink ref="B188" r:id="rId43"/>
    <hyperlink ref="B189" r:id="rId44"/>
    <hyperlink ref="B190" r:id="rId45"/>
    <hyperlink ref="B199" r:id="rId46"/>
    <hyperlink ref="B200" r:id="rId47"/>
    <hyperlink ref="B201" r:id="rId48"/>
    <hyperlink ref="B91" r:id="rId49"/>
    <hyperlink ref="B3" r:id="rId50"/>
    <hyperlink ref="B86" r:id="rId51" display="ВЛТЭ-410*"/>
    <hyperlink ref="B92" r:id="rId52" display="ВЛТЭ-4100*"/>
    <hyperlink ref="B96" r:id="rId53" display="ВЛТЭ-8100*"/>
    <hyperlink ref="B107" r:id="rId54"/>
    <hyperlink ref="B59" r:id="rId55"/>
    <hyperlink ref="B60" r:id="rId56"/>
    <hyperlink ref="B56" r:id="rId57"/>
    <hyperlink ref="B65" r:id="rId58"/>
    <hyperlink ref="B57" r:id="rId59"/>
    <hyperlink ref="B66" r:id="rId60"/>
    <hyperlink ref="B58" r:id="rId61"/>
    <hyperlink ref="B61" r:id="rId62"/>
    <hyperlink ref="B64" r:id="rId63"/>
    <hyperlink ref="B67" r:id="rId64"/>
    <hyperlink ref="B39" r:id="rId65"/>
    <hyperlink ref="B40" r:id="rId66"/>
    <hyperlink ref="B41" r:id="rId67"/>
    <hyperlink ref="B43" r:id="rId68"/>
    <hyperlink ref="B42" r:id="rId69"/>
    <hyperlink ref="B44" r:id="rId70"/>
    <hyperlink ref="B10" r:id="rId71"/>
    <hyperlink ref="B11" r:id="rId72"/>
    <hyperlink ref="B12" r:id="rId73"/>
    <hyperlink ref="B13" r:id="rId74"/>
    <hyperlink ref="B14" r:id="rId75" display="http://skyves.ru/element/2467"/>
    <hyperlink ref="B110" r:id="rId76" display="ВЛТЭ-1100С*"/>
    <hyperlink ref="B111" r:id="rId77" display="ВЛТЭ-2100С*"/>
    <hyperlink ref="B112" r:id="rId78" display="ВЛТЭ-3100С*"/>
    <hyperlink ref="B113" r:id="rId79" display="ВЛТЭ-4100С*"/>
    <hyperlink ref="B114" r:id="rId80" display="ВЛТЭ-2100/5100С*"/>
    <hyperlink ref="B115" r:id="rId81" display="ВЛТЭ-5100С*"/>
    <hyperlink ref="B116" r:id="rId82" display="ВЛТЭ-6100С*"/>
    <hyperlink ref="B156" r:id="rId83"/>
    <hyperlink ref="B155" r:id="rId84"/>
    <hyperlink ref="B154" r:id="rId85"/>
    <hyperlink ref="B153" r:id="rId86"/>
    <hyperlink ref="B152" r:id="rId87"/>
    <hyperlink ref="B163" r:id="rId88" display="ВЛТЭ-8100T*"/>
    <hyperlink ref="B160" r:id="rId89" display="ВЛТЭ-4100Т*"/>
    <hyperlink ref="B162" r:id="rId90"/>
    <hyperlink ref="B161" r:id="rId91"/>
    <hyperlink ref="B159" r:id="rId92"/>
    <hyperlink ref="B158" r:id="rId93"/>
    <hyperlink ref="B157" r:id="rId94"/>
    <hyperlink ref="B151" r:id="rId95"/>
    <hyperlink ref="B150" r:id="rId96"/>
    <hyperlink ref="B149" r:id="rId97"/>
    <hyperlink ref="B148" r:id="rId98"/>
  </hyperlinks>
  <pageMargins left="0.7" right="0.7" top="0.75" bottom="0.75" header="0.3" footer="0.3"/>
  <pageSetup paperSize="9" orientation="portrait" r:id="rId99"/>
  <ignoredErrors>
    <ignoredError sqref="B3" twoDigitTextYear="1"/>
  </ignoredErrors>
  <drawing r:id="rId1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661"/>
  <sheetViews>
    <sheetView topLeftCell="A313" zoomScale="85" zoomScaleNormal="85" workbookViewId="0">
      <selection activeCell="I315" sqref="I315:J320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 customWidth="1"/>
    <col min="12" max="12" width="16" style="1" hidden="1" customWidth="1"/>
    <col min="13" max="13" width="0" style="12" hidden="1" customWidth="1"/>
    <col min="14" max="14" width="20.33203125" style="2" hidden="1" customWidth="1"/>
    <col min="15" max="15" width="23.109375" style="2" hidden="1" customWidth="1"/>
    <col min="16" max="16384" width="9.109375" style="1"/>
  </cols>
  <sheetData>
    <row r="1" spans="1:15" ht="39.9" customHeight="1" x14ac:dyDescent="0.3">
      <c r="A1" s="139" t="s">
        <v>1650</v>
      </c>
      <c r="B1" s="140"/>
      <c r="C1" s="140"/>
      <c r="D1" s="140"/>
      <c r="E1" s="140"/>
      <c r="F1" s="140"/>
      <c r="G1" s="140"/>
      <c r="H1" s="140"/>
      <c r="I1" s="140"/>
      <c r="J1" s="140"/>
      <c r="O1" s="2" t="s">
        <v>1802</v>
      </c>
    </row>
    <row r="2" spans="1:15" ht="30" customHeight="1" x14ac:dyDescent="0.3">
      <c r="A2" s="70"/>
      <c r="B2" s="38" t="s">
        <v>2</v>
      </c>
      <c r="C2" s="4" t="s">
        <v>42</v>
      </c>
      <c r="D2" s="4" t="s">
        <v>43</v>
      </c>
      <c r="E2" s="38" t="s">
        <v>9</v>
      </c>
      <c r="F2" s="38" t="s">
        <v>10</v>
      </c>
      <c r="G2" s="4" t="s">
        <v>11</v>
      </c>
      <c r="H2" s="4" t="s">
        <v>17</v>
      </c>
      <c r="I2" s="4"/>
      <c r="J2" s="4"/>
    </row>
    <row r="3" spans="1:15" ht="30" customHeight="1" x14ac:dyDescent="0.3">
      <c r="A3" s="147"/>
      <c r="B3" s="72" t="s">
        <v>323</v>
      </c>
      <c r="C3" s="70" t="s">
        <v>327</v>
      </c>
      <c r="D3" s="70" t="s">
        <v>329</v>
      </c>
      <c r="E3" s="70" t="s">
        <v>950</v>
      </c>
      <c r="F3" s="70" t="s">
        <v>13</v>
      </c>
      <c r="G3" s="70" t="s">
        <v>249</v>
      </c>
      <c r="H3" s="9">
        <f>N3+O3</f>
        <v>289400</v>
      </c>
      <c r="I3" s="8"/>
      <c r="J3" s="9"/>
      <c r="L3" s="12" t="s">
        <v>1764</v>
      </c>
      <c r="M3" s="12" t="s">
        <v>1808</v>
      </c>
      <c r="N3" s="2">
        <v>285900</v>
      </c>
      <c r="O3" s="2">
        <v>3500</v>
      </c>
    </row>
    <row r="4" spans="1:15" ht="30" customHeight="1" x14ac:dyDescent="0.3">
      <c r="A4" s="147"/>
      <c r="B4" s="72" t="s">
        <v>324</v>
      </c>
      <c r="C4" s="70" t="s">
        <v>328</v>
      </c>
      <c r="D4" s="70" t="s">
        <v>330</v>
      </c>
      <c r="E4" s="70" t="s">
        <v>950</v>
      </c>
      <c r="F4" s="70" t="s">
        <v>13</v>
      </c>
      <c r="G4" s="70" t="s">
        <v>249</v>
      </c>
      <c r="H4" s="9">
        <f>N4+O4</f>
        <v>183400</v>
      </c>
      <c r="I4" s="8"/>
      <c r="J4" s="9"/>
      <c r="L4" s="12" t="s">
        <v>1764</v>
      </c>
      <c r="M4" s="12" t="s">
        <v>1808</v>
      </c>
      <c r="N4" s="2">
        <v>179900</v>
      </c>
      <c r="O4" s="2">
        <v>3500</v>
      </c>
    </row>
    <row r="5" spans="1:15" ht="30" customHeight="1" x14ac:dyDescent="0.3">
      <c r="A5" s="147"/>
      <c r="B5" s="72" t="s">
        <v>325</v>
      </c>
      <c r="C5" s="70" t="s">
        <v>328</v>
      </c>
      <c r="D5" s="70" t="s">
        <v>331</v>
      </c>
      <c r="E5" s="70" t="s">
        <v>950</v>
      </c>
      <c r="F5" s="70" t="s">
        <v>13</v>
      </c>
      <c r="G5" s="70" t="s">
        <v>249</v>
      </c>
      <c r="H5" s="9">
        <f>N5+O5</f>
        <v>173400</v>
      </c>
      <c r="I5" s="8"/>
      <c r="J5" s="9"/>
      <c r="L5" s="12" t="s">
        <v>1764</v>
      </c>
      <c r="M5" s="12" t="s">
        <v>1808</v>
      </c>
      <c r="N5" s="2">
        <v>169900</v>
      </c>
      <c r="O5" s="2">
        <v>3500</v>
      </c>
    </row>
    <row r="6" spans="1:15" ht="30" customHeight="1" x14ac:dyDescent="0.3">
      <c r="A6" s="147"/>
      <c r="B6" s="72" t="s">
        <v>326</v>
      </c>
      <c r="C6" s="70" t="s">
        <v>328</v>
      </c>
      <c r="D6" s="10" t="s">
        <v>332</v>
      </c>
      <c r="E6" s="70" t="s">
        <v>950</v>
      </c>
      <c r="F6" s="70" t="s">
        <v>13</v>
      </c>
      <c r="G6" s="10" t="s">
        <v>249</v>
      </c>
      <c r="H6" s="9">
        <f>N6+O6</f>
        <v>141400</v>
      </c>
      <c r="I6" s="8"/>
      <c r="J6" s="9"/>
      <c r="L6" s="12" t="s">
        <v>1764</v>
      </c>
      <c r="M6" s="12" t="s">
        <v>1808</v>
      </c>
      <c r="N6" s="2">
        <v>137900</v>
      </c>
      <c r="O6" s="2">
        <v>3500</v>
      </c>
    </row>
    <row r="7" spans="1:15" ht="20.100000000000001" customHeight="1" x14ac:dyDescent="0.3">
      <c r="A7" s="149"/>
      <c r="B7" s="149"/>
      <c r="C7" s="149"/>
      <c r="D7" s="149"/>
      <c r="E7" s="149"/>
      <c r="F7" s="149"/>
      <c r="G7" s="149"/>
      <c r="H7" s="149"/>
      <c r="I7" s="149"/>
      <c r="J7" s="149"/>
    </row>
    <row r="8" spans="1:15" ht="39.9" customHeight="1" x14ac:dyDescent="0.3">
      <c r="A8" s="139" t="s">
        <v>1299</v>
      </c>
      <c r="B8" s="140"/>
      <c r="C8" s="140"/>
      <c r="D8" s="140"/>
      <c r="E8" s="140"/>
      <c r="F8" s="140"/>
      <c r="G8" s="140"/>
      <c r="H8" s="140"/>
      <c r="I8" s="140"/>
      <c r="J8" s="140"/>
    </row>
    <row r="9" spans="1:15" ht="30" customHeight="1" x14ac:dyDescent="0.3">
      <c r="A9" s="70"/>
      <c r="B9" s="38" t="s">
        <v>2</v>
      </c>
      <c r="C9" s="4" t="s">
        <v>338</v>
      </c>
      <c r="D9" s="4" t="s">
        <v>342</v>
      </c>
      <c r="E9" s="38" t="s">
        <v>9</v>
      </c>
      <c r="F9" s="38" t="s">
        <v>10</v>
      </c>
      <c r="G9" s="4" t="s">
        <v>11</v>
      </c>
      <c r="H9" s="4" t="s">
        <v>17</v>
      </c>
      <c r="I9" s="4"/>
      <c r="J9" s="4"/>
    </row>
    <row r="10" spans="1:15" ht="24.9" customHeight="1" x14ac:dyDescent="0.3">
      <c r="A10" s="147"/>
      <c r="B10" s="72" t="s">
        <v>333</v>
      </c>
      <c r="C10" s="11" t="s">
        <v>339</v>
      </c>
      <c r="D10" s="70">
        <v>35</v>
      </c>
      <c r="E10" s="70" t="s">
        <v>187</v>
      </c>
      <c r="F10" s="70" t="s">
        <v>187</v>
      </c>
      <c r="G10" s="70" t="s">
        <v>187</v>
      </c>
      <c r="H10" s="7">
        <f>N10+5000</f>
        <v>390000</v>
      </c>
      <c r="I10" s="8"/>
      <c r="J10" s="9"/>
      <c r="N10" s="2">
        <v>385000</v>
      </c>
      <c r="O10" s="2">
        <v>5000</v>
      </c>
    </row>
    <row r="11" spans="1:15" ht="24.9" customHeight="1" x14ac:dyDescent="0.3">
      <c r="A11" s="147"/>
      <c r="B11" s="72" t="s">
        <v>334</v>
      </c>
      <c r="C11" s="11" t="s">
        <v>340</v>
      </c>
      <c r="D11" s="70">
        <v>35</v>
      </c>
      <c r="E11" s="70" t="s">
        <v>187</v>
      </c>
      <c r="F11" s="70" t="s">
        <v>187</v>
      </c>
      <c r="G11" s="70" t="s">
        <v>187</v>
      </c>
      <c r="H11" s="7">
        <f>N11+5000</f>
        <v>330000</v>
      </c>
      <c r="I11" s="8"/>
      <c r="J11" s="9"/>
      <c r="N11" s="2">
        <v>325000</v>
      </c>
      <c r="O11" s="2">
        <v>5000</v>
      </c>
    </row>
    <row r="12" spans="1:15" ht="24.9" customHeight="1" x14ac:dyDescent="0.3">
      <c r="A12" s="147"/>
      <c r="B12" s="72" t="s">
        <v>335</v>
      </c>
      <c r="C12" s="12" t="s">
        <v>341</v>
      </c>
      <c r="D12" s="70">
        <v>2</v>
      </c>
      <c r="E12" s="70" t="s">
        <v>187</v>
      </c>
      <c r="F12" s="70" t="s">
        <v>187</v>
      </c>
      <c r="G12" s="70" t="s">
        <v>187</v>
      </c>
      <c r="H12" s="7">
        <f>N12+5000</f>
        <v>580000</v>
      </c>
      <c r="I12" s="8"/>
      <c r="J12" s="63"/>
      <c r="N12" s="2">
        <v>575000</v>
      </c>
      <c r="O12" s="2">
        <v>5000</v>
      </c>
    </row>
    <row r="13" spans="1:15" ht="24.9" customHeight="1" x14ac:dyDescent="0.3">
      <c r="A13" s="147"/>
      <c r="B13" s="72" t="s">
        <v>336</v>
      </c>
      <c r="C13" s="11" t="s">
        <v>339</v>
      </c>
      <c r="D13" s="70">
        <v>10</v>
      </c>
      <c r="E13" s="70" t="s">
        <v>187</v>
      </c>
      <c r="F13" s="70" t="s">
        <v>187</v>
      </c>
      <c r="G13" s="70" t="s">
        <v>187</v>
      </c>
      <c r="H13" s="7">
        <f>N13+5000</f>
        <v>540000</v>
      </c>
      <c r="I13" s="8"/>
      <c r="J13" s="63"/>
      <c r="N13" s="2">
        <v>535000</v>
      </c>
      <c r="O13" s="2">
        <v>5000</v>
      </c>
    </row>
    <row r="14" spans="1:15" ht="24.9" customHeight="1" x14ac:dyDescent="0.3">
      <c r="A14" s="147"/>
      <c r="B14" s="72" t="s">
        <v>337</v>
      </c>
      <c r="C14" s="11" t="s">
        <v>340</v>
      </c>
      <c r="D14" s="70">
        <v>10</v>
      </c>
      <c r="E14" s="70" t="s">
        <v>187</v>
      </c>
      <c r="F14" s="70" t="s">
        <v>187</v>
      </c>
      <c r="G14" s="70" t="s">
        <v>187</v>
      </c>
      <c r="H14" s="7">
        <f>N14+5000</f>
        <v>540000</v>
      </c>
      <c r="I14" s="8"/>
      <c r="J14" s="63"/>
      <c r="N14" s="2">
        <v>535000</v>
      </c>
      <c r="O14" s="2">
        <v>5000</v>
      </c>
    </row>
    <row r="15" spans="1:15" ht="20.100000000000001" customHeight="1" x14ac:dyDescent="0.3">
      <c r="A15" s="149"/>
      <c r="B15" s="149"/>
      <c r="C15" s="149"/>
      <c r="D15" s="149"/>
      <c r="E15" s="149"/>
      <c r="F15" s="149"/>
      <c r="G15" s="149"/>
      <c r="H15" s="149"/>
      <c r="I15" s="149"/>
      <c r="J15" s="149"/>
    </row>
    <row r="16" spans="1:15" ht="39.9" customHeight="1" x14ac:dyDescent="0.3">
      <c r="A16" s="139" t="s">
        <v>1651</v>
      </c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5" ht="30" customHeight="1" x14ac:dyDescent="0.3">
      <c r="A17" s="70"/>
      <c r="B17" s="38" t="s">
        <v>2</v>
      </c>
      <c r="C17" s="4" t="s">
        <v>42</v>
      </c>
      <c r="D17" s="4" t="s">
        <v>43</v>
      </c>
      <c r="E17" s="38" t="s">
        <v>9</v>
      </c>
      <c r="F17" s="38" t="s">
        <v>10</v>
      </c>
      <c r="G17" s="4" t="s">
        <v>11</v>
      </c>
      <c r="H17" s="4" t="s">
        <v>17</v>
      </c>
      <c r="I17" s="4"/>
      <c r="J17" s="4"/>
    </row>
    <row r="18" spans="1:15" ht="24.9" customHeight="1" x14ac:dyDescent="0.3">
      <c r="A18" s="147"/>
      <c r="B18" s="72" t="s">
        <v>902</v>
      </c>
      <c r="C18" s="70" t="s">
        <v>343</v>
      </c>
      <c r="D18" s="70" t="s">
        <v>344</v>
      </c>
      <c r="E18" s="70" t="s">
        <v>14</v>
      </c>
      <c r="F18" s="70" t="s">
        <v>15</v>
      </c>
      <c r="G18" s="70" t="s">
        <v>346</v>
      </c>
      <c r="H18" s="31">
        <f t="shared" ref="H18:H23" si="0">N18+O18</f>
        <v>1734000</v>
      </c>
      <c r="I18" s="8"/>
      <c r="J18" s="63"/>
      <c r="N18" s="2">
        <v>1729000</v>
      </c>
      <c r="O18" s="2">
        <v>5000</v>
      </c>
    </row>
    <row r="19" spans="1:15" ht="24.9" customHeight="1" x14ac:dyDescent="0.3">
      <c r="A19" s="147"/>
      <c r="B19" s="72" t="s">
        <v>903</v>
      </c>
      <c r="C19" s="70" t="s">
        <v>345</v>
      </c>
      <c r="D19" s="70" t="s">
        <v>351</v>
      </c>
      <c r="E19" s="70" t="s">
        <v>14</v>
      </c>
      <c r="F19" s="70" t="s">
        <v>15</v>
      </c>
      <c r="G19" s="70" t="s">
        <v>346</v>
      </c>
      <c r="H19" s="31">
        <f t="shared" si="0"/>
        <v>1254000</v>
      </c>
      <c r="I19" s="8"/>
      <c r="J19" s="63"/>
      <c r="N19" s="2">
        <v>1249000</v>
      </c>
      <c r="O19" s="2">
        <v>5000</v>
      </c>
    </row>
    <row r="20" spans="1:15" ht="24.9" customHeight="1" x14ac:dyDescent="0.3">
      <c r="A20" s="147"/>
      <c r="B20" s="72" t="s">
        <v>904</v>
      </c>
      <c r="C20" s="70" t="s">
        <v>347</v>
      </c>
      <c r="D20" s="70" t="s">
        <v>348</v>
      </c>
      <c r="E20" s="70" t="s">
        <v>14</v>
      </c>
      <c r="F20" s="70" t="s">
        <v>15</v>
      </c>
      <c r="G20" s="70" t="s">
        <v>16</v>
      </c>
      <c r="H20" s="31">
        <f t="shared" si="0"/>
        <v>544000</v>
      </c>
      <c r="I20" s="8"/>
      <c r="J20" s="63"/>
      <c r="L20" s="12" t="s">
        <v>1796</v>
      </c>
      <c r="N20" s="2">
        <v>539000</v>
      </c>
      <c r="O20" s="2">
        <v>5000</v>
      </c>
    </row>
    <row r="21" spans="1:15" ht="24.9" customHeight="1" x14ac:dyDescent="0.3">
      <c r="A21" s="147"/>
      <c r="B21" s="72" t="s">
        <v>905</v>
      </c>
      <c r="C21" s="70" t="s">
        <v>46</v>
      </c>
      <c r="D21" s="70" t="s">
        <v>47</v>
      </c>
      <c r="E21" s="70" t="s">
        <v>14</v>
      </c>
      <c r="F21" s="70" t="s">
        <v>15</v>
      </c>
      <c r="G21" s="70" t="s">
        <v>16</v>
      </c>
      <c r="H21" s="31">
        <f t="shared" si="0"/>
        <v>444000</v>
      </c>
      <c r="I21" s="8"/>
      <c r="J21" s="9"/>
      <c r="N21" s="2">
        <v>439000</v>
      </c>
      <c r="O21" s="2">
        <v>5000</v>
      </c>
    </row>
    <row r="22" spans="1:15" ht="24.9" customHeight="1" x14ac:dyDescent="0.3">
      <c r="A22" s="147"/>
      <c r="B22" s="72" t="s">
        <v>906</v>
      </c>
      <c r="C22" s="70" t="s">
        <v>52</v>
      </c>
      <c r="D22" s="70" t="s">
        <v>47</v>
      </c>
      <c r="E22" s="70" t="s">
        <v>14</v>
      </c>
      <c r="F22" s="70" t="s">
        <v>15</v>
      </c>
      <c r="G22" s="70" t="s">
        <v>16</v>
      </c>
      <c r="H22" s="31">
        <f t="shared" si="0"/>
        <v>474000</v>
      </c>
      <c r="I22" s="8"/>
      <c r="J22" s="9"/>
      <c r="N22" s="2">
        <v>469000</v>
      </c>
      <c r="O22" s="2">
        <v>5000</v>
      </c>
    </row>
    <row r="23" spans="1:15" ht="24.9" customHeight="1" x14ac:dyDescent="0.3">
      <c r="A23" s="147"/>
      <c r="B23" s="72" t="s">
        <v>907</v>
      </c>
      <c r="C23" s="70" t="s">
        <v>356</v>
      </c>
      <c r="D23" s="70" t="s">
        <v>47</v>
      </c>
      <c r="E23" s="70" t="s">
        <v>14</v>
      </c>
      <c r="F23" s="70" t="s">
        <v>15</v>
      </c>
      <c r="G23" s="70" t="s">
        <v>16</v>
      </c>
      <c r="H23" s="31">
        <f t="shared" si="0"/>
        <v>504000</v>
      </c>
      <c r="I23" s="8"/>
      <c r="J23" s="9"/>
      <c r="N23" s="2">
        <v>499000</v>
      </c>
      <c r="O23" s="2">
        <v>5000</v>
      </c>
    </row>
    <row r="24" spans="1:15" ht="20.100000000000001" customHeight="1" x14ac:dyDescent="0.3">
      <c r="A24" s="149"/>
      <c r="B24" s="149"/>
      <c r="C24" s="149"/>
      <c r="D24" s="149"/>
      <c r="E24" s="149"/>
      <c r="F24" s="149"/>
      <c r="G24" s="149"/>
      <c r="H24" s="149"/>
      <c r="I24" s="149"/>
      <c r="J24" s="149"/>
    </row>
    <row r="25" spans="1:15" ht="39.9" customHeight="1" x14ac:dyDescent="0.3">
      <c r="A25" s="139" t="s">
        <v>1654</v>
      </c>
      <c r="B25" s="140"/>
      <c r="C25" s="140"/>
      <c r="D25" s="140"/>
      <c r="E25" s="140"/>
      <c r="F25" s="140"/>
      <c r="G25" s="140"/>
      <c r="H25" s="140"/>
      <c r="I25" s="140"/>
      <c r="J25" s="140"/>
    </row>
    <row r="26" spans="1:15" ht="30" customHeight="1" x14ac:dyDescent="0.3">
      <c r="A26" s="70"/>
      <c r="B26" s="38" t="s">
        <v>2</v>
      </c>
      <c r="C26" s="4" t="s">
        <v>42</v>
      </c>
      <c r="D26" s="4" t="s">
        <v>43</v>
      </c>
      <c r="E26" s="38" t="s">
        <v>9</v>
      </c>
      <c r="F26" s="38" t="s">
        <v>10</v>
      </c>
      <c r="G26" s="4" t="s">
        <v>11</v>
      </c>
      <c r="H26" s="4" t="s">
        <v>17</v>
      </c>
      <c r="I26" s="4"/>
      <c r="J26" s="4"/>
    </row>
    <row r="27" spans="1:15" ht="30" customHeight="1" x14ac:dyDescent="0.3">
      <c r="A27" s="152"/>
      <c r="B27" s="72" t="s">
        <v>357</v>
      </c>
      <c r="C27" s="70" t="s">
        <v>45</v>
      </c>
      <c r="D27" s="70" t="s">
        <v>47</v>
      </c>
      <c r="E27" s="70" t="s">
        <v>14</v>
      </c>
      <c r="F27" s="70" t="s">
        <v>15</v>
      </c>
      <c r="G27" s="70" t="s">
        <v>249</v>
      </c>
      <c r="H27" s="7">
        <v>174900</v>
      </c>
      <c r="I27" s="8"/>
      <c r="J27" s="9"/>
      <c r="L27" s="12" t="s">
        <v>1994</v>
      </c>
      <c r="M27" s="12">
        <v>8.6999999999999993</v>
      </c>
    </row>
    <row r="28" spans="1:15" ht="30" customHeight="1" x14ac:dyDescent="0.3">
      <c r="A28" s="153"/>
      <c r="B28" s="72" t="s">
        <v>358</v>
      </c>
      <c r="C28" s="70" t="s">
        <v>241</v>
      </c>
      <c r="D28" s="70" t="s">
        <v>47</v>
      </c>
      <c r="E28" s="70" t="s">
        <v>14</v>
      </c>
      <c r="F28" s="70" t="s">
        <v>15</v>
      </c>
      <c r="G28" s="70" t="s">
        <v>249</v>
      </c>
      <c r="H28" s="7">
        <v>178900</v>
      </c>
      <c r="I28" s="8"/>
      <c r="J28" s="9"/>
      <c r="L28" s="12" t="s">
        <v>1994</v>
      </c>
      <c r="M28" s="12">
        <v>8.6999999999999993</v>
      </c>
    </row>
    <row r="29" spans="1:15" ht="30" customHeight="1" x14ac:dyDescent="0.3">
      <c r="A29" s="153"/>
      <c r="B29" s="72" t="s">
        <v>359</v>
      </c>
      <c r="C29" s="70" t="s">
        <v>242</v>
      </c>
      <c r="D29" s="70" t="s">
        <v>47</v>
      </c>
      <c r="E29" s="70" t="s">
        <v>14</v>
      </c>
      <c r="F29" s="70" t="s">
        <v>15</v>
      </c>
      <c r="G29" s="70" t="s">
        <v>249</v>
      </c>
      <c r="H29" s="7">
        <v>212900</v>
      </c>
      <c r="I29" s="8"/>
      <c r="J29" s="9"/>
      <c r="L29" s="12" t="s">
        <v>1994</v>
      </c>
      <c r="M29" s="12">
        <v>8.6999999999999993</v>
      </c>
    </row>
    <row r="30" spans="1:15" ht="30" customHeight="1" x14ac:dyDescent="0.3">
      <c r="A30" s="154"/>
      <c r="B30" s="72" t="s">
        <v>349</v>
      </c>
      <c r="C30" s="70" t="s">
        <v>350</v>
      </c>
      <c r="D30" s="70" t="s">
        <v>70</v>
      </c>
      <c r="E30" s="70" t="s">
        <v>14</v>
      </c>
      <c r="F30" s="70" t="s">
        <v>15</v>
      </c>
      <c r="G30" s="70" t="s">
        <v>249</v>
      </c>
      <c r="H30" s="7">
        <v>250900</v>
      </c>
      <c r="I30" s="8"/>
      <c r="J30" s="9"/>
      <c r="L30" s="12" t="s">
        <v>1994</v>
      </c>
      <c r="M30" s="12">
        <v>8.6999999999999993</v>
      </c>
    </row>
    <row r="31" spans="1:15" ht="20.100000000000001" customHeight="1" x14ac:dyDescent="0.3">
      <c r="A31" s="149"/>
      <c r="B31" s="149"/>
      <c r="C31" s="149"/>
      <c r="D31" s="149"/>
      <c r="E31" s="149"/>
      <c r="F31" s="149"/>
      <c r="G31" s="149"/>
      <c r="H31" s="149"/>
      <c r="I31" s="149"/>
      <c r="J31" s="149"/>
    </row>
    <row r="32" spans="1:15" ht="39.9" customHeight="1" x14ac:dyDescent="0.3">
      <c r="A32" s="150" t="s">
        <v>1655</v>
      </c>
      <c r="B32" s="151"/>
      <c r="C32" s="151"/>
      <c r="D32" s="151"/>
      <c r="E32" s="151"/>
      <c r="F32" s="151"/>
      <c r="G32" s="151"/>
      <c r="H32" s="151"/>
      <c r="I32" s="151"/>
      <c r="J32" s="151"/>
    </row>
    <row r="33" spans="1:13" ht="30" customHeight="1" x14ac:dyDescent="0.3">
      <c r="A33" s="70"/>
      <c r="B33" s="38" t="s">
        <v>2</v>
      </c>
      <c r="C33" s="4" t="s">
        <v>42</v>
      </c>
      <c r="D33" s="4" t="s">
        <v>43</v>
      </c>
      <c r="E33" s="38" t="s">
        <v>9</v>
      </c>
      <c r="F33" s="38" t="s">
        <v>10</v>
      </c>
      <c r="G33" s="4" t="s">
        <v>11</v>
      </c>
      <c r="H33" s="4" t="s">
        <v>17</v>
      </c>
      <c r="I33" s="4"/>
      <c r="J33" s="4"/>
    </row>
    <row r="34" spans="1:13" ht="24.9" customHeight="1" x14ac:dyDescent="0.3">
      <c r="A34" s="152"/>
      <c r="B34" s="72" t="s">
        <v>360</v>
      </c>
      <c r="C34" s="70" t="s">
        <v>45</v>
      </c>
      <c r="D34" s="70" t="s">
        <v>47</v>
      </c>
      <c r="E34" s="70" t="s">
        <v>14</v>
      </c>
      <c r="F34" s="70" t="s">
        <v>15</v>
      </c>
      <c r="G34" s="70" t="s">
        <v>16</v>
      </c>
      <c r="H34" s="7">
        <v>223900</v>
      </c>
      <c r="I34" s="8"/>
      <c r="J34" s="9"/>
      <c r="L34" s="12" t="s">
        <v>1809</v>
      </c>
      <c r="M34" s="12">
        <v>10.5</v>
      </c>
    </row>
    <row r="35" spans="1:13" ht="24.9" customHeight="1" x14ac:dyDescent="0.3">
      <c r="A35" s="153"/>
      <c r="B35" s="72" t="s">
        <v>361</v>
      </c>
      <c r="C35" s="70" t="s">
        <v>46</v>
      </c>
      <c r="D35" s="70" t="s">
        <v>47</v>
      </c>
      <c r="E35" s="70" t="s">
        <v>14</v>
      </c>
      <c r="F35" s="70" t="s">
        <v>15</v>
      </c>
      <c r="G35" s="70" t="s">
        <v>16</v>
      </c>
      <c r="H35" s="7">
        <v>256900</v>
      </c>
      <c r="I35" s="8"/>
      <c r="J35" s="9"/>
      <c r="L35" s="12" t="s">
        <v>1809</v>
      </c>
      <c r="M35" s="12">
        <v>10.5</v>
      </c>
    </row>
    <row r="36" spans="1:13" ht="24.9" customHeight="1" x14ac:dyDescent="0.3">
      <c r="A36" s="153"/>
      <c r="B36" s="72" t="s">
        <v>362</v>
      </c>
      <c r="C36" s="70" t="s">
        <v>52</v>
      </c>
      <c r="D36" s="70" t="s">
        <v>47</v>
      </c>
      <c r="E36" s="70" t="s">
        <v>14</v>
      </c>
      <c r="F36" s="70" t="s">
        <v>15</v>
      </c>
      <c r="G36" s="70" t="s">
        <v>16</v>
      </c>
      <c r="H36" s="7">
        <v>279900</v>
      </c>
      <c r="I36" s="8"/>
      <c r="J36" s="9"/>
      <c r="L36" s="12" t="s">
        <v>1809</v>
      </c>
      <c r="M36" s="12">
        <v>10.5</v>
      </c>
    </row>
    <row r="37" spans="1:13" ht="24.9" customHeight="1" x14ac:dyDescent="0.3">
      <c r="A37" s="153"/>
      <c r="B37" s="72" t="s">
        <v>352</v>
      </c>
      <c r="C37" s="70" t="s">
        <v>354</v>
      </c>
      <c r="D37" s="70" t="s">
        <v>70</v>
      </c>
      <c r="E37" s="70" t="s">
        <v>14</v>
      </c>
      <c r="F37" s="70" t="s">
        <v>15</v>
      </c>
      <c r="G37" s="70" t="s">
        <v>16</v>
      </c>
      <c r="H37" s="7">
        <v>308900</v>
      </c>
      <c r="I37" s="8"/>
      <c r="J37" s="9"/>
      <c r="L37" s="12" t="s">
        <v>1809</v>
      </c>
      <c r="M37" s="12">
        <v>10.5</v>
      </c>
    </row>
    <row r="38" spans="1:13" ht="24.9" customHeight="1" x14ac:dyDescent="0.3">
      <c r="A38" s="154"/>
      <c r="B38" s="72" t="s">
        <v>353</v>
      </c>
      <c r="C38" s="70" t="s">
        <v>355</v>
      </c>
      <c r="D38" s="70" t="s">
        <v>70</v>
      </c>
      <c r="E38" s="70" t="s">
        <v>14</v>
      </c>
      <c r="F38" s="70" t="s">
        <v>15</v>
      </c>
      <c r="G38" s="70" t="s">
        <v>16</v>
      </c>
      <c r="H38" s="7">
        <v>320900</v>
      </c>
      <c r="I38" s="8"/>
      <c r="J38" s="9"/>
      <c r="L38" s="12" t="s">
        <v>1809</v>
      </c>
      <c r="M38" s="12">
        <v>10.5</v>
      </c>
    </row>
    <row r="39" spans="1:13" ht="20.100000000000001" customHeight="1" x14ac:dyDescent="0.3">
      <c r="A39" s="149"/>
      <c r="B39" s="149"/>
      <c r="C39" s="149"/>
      <c r="D39" s="149"/>
      <c r="E39" s="149"/>
      <c r="F39" s="149"/>
      <c r="G39" s="149"/>
      <c r="H39" s="149"/>
      <c r="I39" s="149"/>
      <c r="J39" s="149"/>
    </row>
    <row r="40" spans="1:13" ht="39.9" customHeight="1" x14ac:dyDescent="0.3">
      <c r="A40" s="150" t="s">
        <v>1803</v>
      </c>
      <c r="B40" s="151"/>
      <c r="C40" s="151"/>
      <c r="D40" s="151"/>
      <c r="E40" s="151"/>
      <c r="F40" s="151"/>
      <c r="G40" s="151"/>
      <c r="H40" s="151"/>
      <c r="I40" s="151"/>
      <c r="J40" s="151"/>
    </row>
    <row r="41" spans="1:13" ht="30" customHeight="1" x14ac:dyDescent="0.3">
      <c r="A41" s="70"/>
      <c r="B41" s="38" t="s">
        <v>2</v>
      </c>
      <c r="C41" s="4" t="s">
        <v>42</v>
      </c>
      <c r="D41" s="4" t="s">
        <v>43</v>
      </c>
      <c r="E41" s="38" t="s">
        <v>9</v>
      </c>
      <c r="F41" s="38" t="s">
        <v>10</v>
      </c>
      <c r="G41" s="4" t="s">
        <v>11</v>
      </c>
      <c r="H41" s="4" t="s">
        <v>17</v>
      </c>
      <c r="I41" s="4"/>
      <c r="J41" s="4"/>
    </row>
    <row r="42" spans="1:13" ht="20.100000000000001" customHeight="1" x14ac:dyDescent="0.3">
      <c r="A42" s="147"/>
      <c r="B42" s="72" t="s">
        <v>363</v>
      </c>
      <c r="C42" s="70" t="s">
        <v>369</v>
      </c>
      <c r="D42" s="70" t="s">
        <v>47</v>
      </c>
      <c r="E42" s="70" t="s">
        <v>14</v>
      </c>
      <c r="F42" s="70" t="s">
        <v>13</v>
      </c>
      <c r="G42" s="70" t="s">
        <v>16</v>
      </c>
      <c r="H42" s="7">
        <v>95900</v>
      </c>
      <c r="I42" s="8"/>
      <c r="J42" s="9"/>
      <c r="L42" s="12" t="s">
        <v>1863</v>
      </c>
      <c r="M42" s="12" t="s">
        <v>220</v>
      </c>
    </row>
    <row r="43" spans="1:13" ht="20.100000000000001" customHeight="1" x14ac:dyDescent="0.3">
      <c r="A43" s="147"/>
      <c r="B43" s="72" t="s">
        <v>364</v>
      </c>
      <c r="C43" s="70" t="s">
        <v>370</v>
      </c>
      <c r="D43" s="70" t="s">
        <v>47</v>
      </c>
      <c r="E43" s="70" t="s">
        <v>14</v>
      </c>
      <c r="F43" s="70" t="s">
        <v>13</v>
      </c>
      <c r="G43" s="70" t="s">
        <v>16</v>
      </c>
      <c r="H43" s="7">
        <v>99900</v>
      </c>
      <c r="I43" s="8"/>
      <c r="J43" s="9"/>
      <c r="L43" s="12" t="s">
        <v>1863</v>
      </c>
      <c r="M43" s="12" t="s">
        <v>220</v>
      </c>
    </row>
    <row r="44" spans="1:13" ht="20.100000000000001" customHeight="1" x14ac:dyDescent="0.3">
      <c r="A44" s="147"/>
      <c r="B44" s="72" t="s">
        <v>365</v>
      </c>
      <c r="C44" s="70" t="s">
        <v>371</v>
      </c>
      <c r="D44" s="70" t="s">
        <v>47</v>
      </c>
      <c r="E44" s="70" t="s">
        <v>14</v>
      </c>
      <c r="F44" s="70" t="s">
        <v>13</v>
      </c>
      <c r="G44" s="70" t="s">
        <v>16</v>
      </c>
      <c r="H44" s="7">
        <v>109900</v>
      </c>
      <c r="I44" s="8"/>
      <c r="J44" s="9"/>
      <c r="L44" s="12" t="s">
        <v>1863</v>
      </c>
      <c r="M44" s="12" t="s">
        <v>220</v>
      </c>
    </row>
    <row r="45" spans="1:13" ht="20.100000000000001" customHeight="1" x14ac:dyDescent="0.3">
      <c r="A45" s="147"/>
      <c r="B45" s="72" t="s">
        <v>366</v>
      </c>
      <c r="C45" s="70" t="s">
        <v>369</v>
      </c>
      <c r="D45" s="70" t="s">
        <v>47</v>
      </c>
      <c r="E45" s="70" t="s">
        <v>14</v>
      </c>
      <c r="F45" s="70" t="s">
        <v>15</v>
      </c>
      <c r="G45" s="70" t="s">
        <v>16</v>
      </c>
      <c r="H45" s="7">
        <v>109900</v>
      </c>
      <c r="I45" s="8"/>
      <c r="J45" s="9"/>
      <c r="L45" s="12" t="s">
        <v>1863</v>
      </c>
      <c r="M45" s="12">
        <v>5.5</v>
      </c>
    </row>
    <row r="46" spans="1:13" ht="20.100000000000001" customHeight="1" x14ac:dyDescent="0.3">
      <c r="A46" s="147"/>
      <c r="B46" s="72" t="s">
        <v>367</v>
      </c>
      <c r="C46" s="70" t="s">
        <v>370</v>
      </c>
      <c r="D46" s="70" t="s">
        <v>47</v>
      </c>
      <c r="E46" s="70" t="s">
        <v>14</v>
      </c>
      <c r="F46" s="70" t="s">
        <v>15</v>
      </c>
      <c r="G46" s="70" t="s">
        <v>16</v>
      </c>
      <c r="H46" s="7">
        <v>111900</v>
      </c>
      <c r="I46" s="8"/>
      <c r="J46" s="9"/>
      <c r="L46" s="12" t="s">
        <v>1863</v>
      </c>
      <c r="M46" s="12">
        <v>5.5</v>
      </c>
    </row>
    <row r="47" spans="1:13" ht="20.100000000000001" customHeight="1" x14ac:dyDescent="0.3">
      <c r="A47" s="147"/>
      <c r="B47" s="72" t="s">
        <v>368</v>
      </c>
      <c r="C47" s="70" t="s">
        <v>371</v>
      </c>
      <c r="D47" s="70" t="s">
        <v>47</v>
      </c>
      <c r="E47" s="70" t="s">
        <v>14</v>
      </c>
      <c r="F47" s="70" t="s">
        <v>15</v>
      </c>
      <c r="G47" s="70" t="s">
        <v>16</v>
      </c>
      <c r="H47" s="7">
        <v>112900</v>
      </c>
      <c r="I47" s="8"/>
      <c r="J47" s="9"/>
      <c r="L47" s="12" t="s">
        <v>1863</v>
      </c>
      <c r="M47" s="12">
        <v>5.5</v>
      </c>
    </row>
    <row r="48" spans="1:13" ht="20.100000000000001" customHeight="1" x14ac:dyDescent="0.3">
      <c r="A48" s="149"/>
      <c r="B48" s="149"/>
      <c r="C48" s="149"/>
      <c r="D48" s="149"/>
      <c r="E48" s="149"/>
      <c r="F48" s="149"/>
      <c r="G48" s="149"/>
      <c r="H48" s="149"/>
      <c r="I48" s="149"/>
      <c r="J48" s="149"/>
    </row>
    <row r="49" spans="1:15" ht="39.9" customHeight="1" x14ac:dyDescent="0.3">
      <c r="A49" s="150" t="s">
        <v>1657</v>
      </c>
      <c r="B49" s="151"/>
      <c r="C49" s="151"/>
      <c r="D49" s="151"/>
      <c r="E49" s="151"/>
      <c r="F49" s="151"/>
      <c r="G49" s="151"/>
      <c r="H49" s="151"/>
      <c r="I49" s="151"/>
      <c r="J49" s="151"/>
    </row>
    <row r="50" spans="1:15" ht="30" customHeight="1" x14ac:dyDescent="0.3">
      <c r="A50" s="70"/>
      <c r="B50" s="38" t="s">
        <v>2</v>
      </c>
      <c r="C50" s="4" t="s">
        <v>42</v>
      </c>
      <c r="D50" s="4" t="s">
        <v>43</v>
      </c>
      <c r="E50" s="38" t="s">
        <v>9</v>
      </c>
      <c r="F50" s="38" t="s">
        <v>10</v>
      </c>
      <c r="G50" s="4" t="s">
        <v>11</v>
      </c>
      <c r="H50" s="4" t="s">
        <v>17</v>
      </c>
      <c r="I50" s="4"/>
      <c r="J50" s="4"/>
    </row>
    <row r="51" spans="1:15" ht="27" customHeight="1" x14ac:dyDescent="0.3">
      <c r="A51" s="168"/>
      <c r="B51" s="72" t="s">
        <v>968</v>
      </c>
      <c r="C51" s="70" t="s">
        <v>181</v>
      </c>
      <c r="D51" s="70" t="s">
        <v>47</v>
      </c>
      <c r="E51" s="70" t="s">
        <v>961</v>
      </c>
      <c r="F51" s="70" t="s">
        <v>15</v>
      </c>
      <c r="G51" s="15" t="s">
        <v>26</v>
      </c>
      <c r="H51" s="31">
        <f>N51+O51</f>
        <v>357900</v>
      </c>
      <c r="I51" s="8"/>
      <c r="J51" s="63"/>
      <c r="N51" s="2">
        <v>350900</v>
      </c>
      <c r="O51" s="2">
        <v>7000</v>
      </c>
    </row>
    <row r="52" spans="1:15" ht="27" customHeight="1" x14ac:dyDescent="0.3">
      <c r="A52" s="169"/>
      <c r="B52" s="72" t="s">
        <v>962</v>
      </c>
      <c r="C52" s="70" t="s">
        <v>61</v>
      </c>
      <c r="D52" s="70" t="s">
        <v>48</v>
      </c>
      <c r="E52" s="70" t="s">
        <v>961</v>
      </c>
      <c r="F52" s="70" t="s">
        <v>15</v>
      </c>
      <c r="G52" s="15" t="s">
        <v>414</v>
      </c>
      <c r="H52" s="31">
        <f>N52+O52</f>
        <v>357900</v>
      </c>
      <c r="I52" s="8"/>
      <c r="J52" s="63"/>
      <c r="N52" s="2">
        <v>350900</v>
      </c>
      <c r="O52" s="2">
        <v>7000</v>
      </c>
    </row>
    <row r="53" spans="1:15" ht="27" customHeight="1" x14ac:dyDescent="0.3">
      <c r="A53" s="169"/>
      <c r="B53" s="72" t="s">
        <v>963</v>
      </c>
      <c r="C53" s="70" t="s">
        <v>965</v>
      </c>
      <c r="D53" s="70" t="s">
        <v>48</v>
      </c>
      <c r="E53" s="70" t="s">
        <v>961</v>
      </c>
      <c r="F53" s="70" t="s">
        <v>15</v>
      </c>
      <c r="G53" s="15" t="s">
        <v>967</v>
      </c>
      <c r="H53" s="31">
        <f>N53+O53</f>
        <v>478900</v>
      </c>
      <c r="I53" s="8"/>
      <c r="J53" s="63"/>
      <c r="N53" s="2">
        <v>471900</v>
      </c>
      <c r="O53" s="2">
        <v>7000</v>
      </c>
    </row>
    <row r="54" spans="1:15" ht="27" customHeight="1" x14ac:dyDescent="0.3">
      <c r="A54" s="169"/>
      <c r="B54" s="72" t="s">
        <v>964</v>
      </c>
      <c r="C54" s="70" t="s">
        <v>966</v>
      </c>
      <c r="D54" s="10" t="s">
        <v>49</v>
      </c>
      <c r="E54" s="70" t="s">
        <v>961</v>
      </c>
      <c r="F54" s="70" t="s">
        <v>15</v>
      </c>
      <c r="G54" s="15" t="s">
        <v>967</v>
      </c>
      <c r="H54" s="31">
        <f>N54+O54</f>
        <v>478900</v>
      </c>
      <c r="I54" s="8"/>
      <c r="J54" s="63"/>
      <c r="N54" s="2">
        <v>471900</v>
      </c>
      <c r="O54" s="2">
        <v>7000</v>
      </c>
    </row>
    <row r="55" spans="1:15" ht="27" customHeight="1" x14ac:dyDescent="0.3">
      <c r="A55" s="170"/>
      <c r="B55" s="76" t="s">
        <v>1502</v>
      </c>
      <c r="C55" s="83" t="s">
        <v>444</v>
      </c>
      <c r="D55" s="10" t="s">
        <v>50</v>
      </c>
      <c r="E55" s="83" t="s">
        <v>961</v>
      </c>
      <c r="F55" s="83" t="s">
        <v>15</v>
      </c>
      <c r="G55" s="15" t="s">
        <v>473</v>
      </c>
      <c r="H55" s="31">
        <f>N55+O55</f>
        <v>720900</v>
      </c>
      <c r="I55" s="8"/>
      <c r="J55" s="63"/>
      <c r="L55" s="89"/>
      <c r="N55" s="2">
        <v>713900</v>
      </c>
      <c r="O55" s="2">
        <v>7000</v>
      </c>
    </row>
    <row r="56" spans="1:15" ht="20.100000000000001" customHeight="1" x14ac:dyDescent="0.3">
      <c r="A56" s="149"/>
      <c r="B56" s="149"/>
      <c r="C56" s="149"/>
      <c r="D56" s="149"/>
      <c r="E56" s="149"/>
      <c r="F56" s="149"/>
      <c r="G56" s="149"/>
      <c r="H56" s="149"/>
      <c r="I56" s="149"/>
      <c r="J56" s="149"/>
    </row>
    <row r="57" spans="1:15" ht="39.9" customHeight="1" x14ac:dyDescent="0.3">
      <c r="A57" s="139" t="s">
        <v>1658</v>
      </c>
      <c r="B57" s="140"/>
      <c r="C57" s="140"/>
      <c r="D57" s="140"/>
      <c r="E57" s="140"/>
      <c r="F57" s="140"/>
      <c r="G57" s="140"/>
      <c r="H57" s="140"/>
      <c r="I57" s="140"/>
      <c r="J57" s="140"/>
    </row>
    <row r="58" spans="1:15" ht="30" customHeight="1" x14ac:dyDescent="0.3">
      <c r="A58" s="70"/>
      <c r="B58" s="38" t="s">
        <v>2</v>
      </c>
      <c r="C58" s="4" t="s">
        <v>42</v>
      </c>
      <c r="D58" s="4" t="s">
        <v>43</v>
      </c>
      <c r="E58" s="38" t="s">
        <v>9</v>
      </c>
      <c r="F58" s="38" t="s">
        <v>10</v>
      </c>
      <c r="G58" s="4" t="s">
        <v>11</v>
      </c>
      <c r="H58" s="4" t="s">
        <v>17</v>
      </c>
      <c r="I58" s="4"/>
      <c r="J58" s="4"/>
    </row>
    <row r="59" spans="1:15" ht="30" customHeight="1" x14ac:dyDescent="0.3">
      <c r="A59" s="147"/>
      <c r="B59" s="72" t="s">
        <v>372</v>
      </c>
      <c r="C59" s="70" t="s">
        <v>382</v>
      </c>
      <c r="D59" s="70" t="s">
        <v>48</v>
      </c>
      <c r="E59" s="70" t="s">
        <v>27</v>
      </c>
      <c r="F59" s="70" t="s">
        <v>13</v>
      </c>
      <c r="G59" s="70" t="s">
        <v>380</v>
      </c>
      <c r="H59" s="7">
        <v>52900</v>
      </c>
      <c r="I59" s="8"/>
      <c r="J59" s="9"/>
    </row>
    <row r="60" spans="1:15" ht="30" customHeight="1" x14ac:dyDescent="0.3">
      <c r="A60" s="147"/>
      <c r="B60" s="72" t="s">
        <v>373</v>
      </c>
      <c r="C60" s="70" t="s">
        <v>46</v>
      </c>
      <c r="D60" s="70" t="s">
        <v>48</v>
      </c>
      <c r="E60" s="70" t="s">
        <v>27</v>
      </c>
      <c r="F60" s="70" t="s">
        <v>13</v>
      </c>
      <c r="G60" s="70" t="s">
        <v>380</v>
      </c>
      <c r="H60" s="7">
        <v>62900</v>
      </c>
      <c r="I60" s="8"/>
      <c r="J60" s="9"/>
    </row>
    <row r="61" spans="1:15" ht="30" customHeight="1" x14ac:dyDescent="0.3">
      <c r="A61" s="147"/>
      <c r="B61" s="72" t="s">
        <v>374</v>
      </c>
      <c r="C61" s="70" t="s">
        <v>52</v>
      </c>
      <c r="D61" s="70" t="s">
        <v>48</v>
      </c>
      <c r="E61" s="70" t="s">
        <v>27</v>
      </c>
      <c r="F61" s="70" t="s">
        <v>13</v>
      </c>
      <c r="G61" s="70" t="s">
        <v>380</v>
      </c>
      <c r="H61" s="7">
        <v>64900</v>
      </c>
      <c r="I61" s="8"/>
      <c r="J61" s="9"/>
    </row>
    <row r="62" spans="1:15" ht="30" customHeight="1" x14ac:dyDescent="0.3">
      <c r="A62" s="147"/>
      <c r="B62" s="74" t="s">
        <v>378</v>
      </c>
      <c r="C62" s="70" t="s">
        <v>356</v>
      </c>
      <c r="D62" s="70" t="s">
        <v>48</v>
      </c>
      <c r="E62" s="70" t="s">
        <v>27</v>
      </c>
      <c r="F62" s="70" t="s">
        <v>13</v>
      </c>
      <c r="G62" s="70" t="s">
        <v>380</v>
      </c>
      <c r="H62" s="7">
        <v>73900</v>
      </c>
      <c r="I62" s="8"/>
      <c r="J62" s="9"/>
    </row>
    <row r="63" spans="1:15" ht="30" customHeight="1" x14ac:dyDescent="0.3">
      <c r="A63" s="147"/>
      <c r="B63" s="72" t="s">
        <v>375</v>
      </c>
      <c r="C63" s="70" t="s">
        <v>383</v>
      </c>
      <c r="D63" s="70" t="s">
        <v>49</v>
      </c>
      <c r="E63" s="70" t="s">
        <v>27</v>
      </c>
      <c r="F63" s="70" t="s">
        <v>13</v>
      </c>
      <c r="G63" s="70" t="s">
        <v>381</v>
      </c>
      <c r="H63" s="7">
        <v>52900</v>
      </c>
      <c r="I63" s="8"/>
      <c r="J63" s="9"/>
    </row>
    <row r="64" spans="1:15" ht="30" customHeight="1" x14ac:dyDescent="0.3">
      <c r="A64" s="147"/>
      <c r="B64" s="72" t="s">
        <v>376</v>
      </c>
      <c r="C64" s="70" t="s">
        <v>58</v>
      </c>
      <c r="D64" s="70" t="s">
        <v>49</v>
      </c>
      <c r="E64" s="70" t="s">
        <v>27</v>
      </c>
      <c r="F64" s="70" t="s">
        <v>13</v>
      </c>
      <c r="G64" s="70" t="s">
        <v>381</v>
      </c>
      <c r="H64" s="7">
        <v>62900</v>
      </c>
      <c r="I64" s="8"/>
      <c r="J64" s="9"/>
    </row>
    <row r="65" spans="1:10" ht="30" customHeight="1" x14ac:dyDescent="0.3">
      <c r="A65" s="147"/>
      <c r="B65" s="72" t="s">
        <v>377</v>
      </c>
      <c r="C65" s="70" t="s">
        <v>98</v>
      </c>
      <c r="D65" s="70" t="s">
        <v>49</v>
      </c>
      <c r="E65" s="70" t="s">
        <v>27</v>
      </c>
      <c r="F65" s="70" t="s">
        <v>13</v>
      </c>
      <c r="G65" s="70" t="s">
        <v>381</v>
      </c>
      <c r="H65" s="7">
        <v>64900</v>
      </c>
      <c r="I65" s="8"/>
      <c r="J65" s="9"/>
    </row>
    <row r="66" spans="1:10" ht="30" customHeight="1" x14ac:dyDescent="0.3">
      <c r="A66" s="147"/>
      <c r="B66" s="72" t="s">
        <v>379</v>
      </c>
      <c r="C66" s="70" t="s">
        <v>384</v>
      </c>
      <c r="D66" s="70" t="s">
        <v>49</v>
      </c>
      <c r="E66" s="70" t="s">
        <v>27</v>
      </c>
      <c r="F66" s="70" t="s">
        <v>13</v>
      </c>
      <c r="G66" s="70" t="s">
        <v>381</v>
      </c>
      <c r="H66" s="7">
        <v>73900</v>
      </c>
      <c r="I66" s="8"/>
      <c r="J66" s="9"/>
    </row>
    <row r="67" spans="1:10" ht="20.100000000000001" customHeight="1" x14ac:dyDescent="0.3">
      <c r="A67" s="149"/>
      <c r="B67" s="149"/>
      <c r="C67" s="149"/>
      <c r="D67" s="149"/>
      <c r="E67" s="149"/>
      <c r="F67" s="149"/>
      <c r="G67" s="149"/>
      <c r="H67" s="149"/>
      <c r="I67" s="149"/>
      <c r="J67" s="149"/>
    </row>
    <row r="68" spans="1:10" ht="39.9" customHeight="1" x14ac:dyDescent="0.3">
      <c r="A68" s="139" t="s">
        <v>1659</v>
      </c>
      <c r="B68" s="140"/>
      <c r="C68" s="140"/>
      <c r="D68" s="140"/>
      <c r="E68" s="140"/>
      <c r="F68" s="140"/>
      <c r="G68" s="140"/>
      <c r="H68" s="140"/>
      <c r="I68" s="140"/>
      <c r="J68" s="140"/>
    </row>
    <row r="69" spans="1:10" ht="30" customHeight="1" x14ac:dyDescent="0.3">
      <c r="A69" s="70"/>
      <c r="B69" s="38" t="s">
        <v>2</v>
      </c>
      <c r="C69" s="4" t="s">
        <v>42</v>
      </c>
      <c r="D69" s="4" t="s">
        <v>43</v>
      </c>
      <c r="E69" s="38" t="s">
        <v>9</v>
      </c>
      <c r="F69" s="38" t="s">
        <v>10</v>
      </c>
      <c r="G69" s="4" t="s">
        <v>11</v>
      </c>
      <c r="H69" s="4" t="s">
        <v>17</v>
      </c>
      <c r="I69" s="4"/>
      <c r="J69" s="4"/>
    </row>
    <row r="70" spans="1:10" ht="39.9" customHeight="1" x14ac:dyDescent="0.3">
      <c r="A70" s="147"/>
      <c r="B70" s="72" t="s">
        <v>385</v>
      </c>
      <c r="C70" s="70" t="s">
        <v>382</v>
      </c>
      <c r="D70" s="70" t="s">
        <v>48</v>
      </c>
      <c r="E70" s="70" t="s">
        <v>27</v>
      </c>
      <c r="F70" s="70" t="s">
        <v>13</v>
      </c>
      <c r="G70" s="70" t="s">
        <v>380</v>
      </c>
      <c r="H70" s="7">
        <v>69900</v>
      </c>
      <c r="I70" s="8"/>
      <c r="J70" s="9"/>
    </row>
    <row r="71" spans="1:10" ht="39.9" customHeight="1" x14ac:dyDescent="0.3">
      <c r="A71" s="147"/>
      <c r="B71" s="72" t="s">
        <v>386</v>
      </c>
      <c r="C71" s="70" t="s">
        <v>46</v>
      </c>
      <c r="D71" s="70" t="s">
        <v>48</v>
      </c>
      <c r="E71" s="70" t="s">
        <v>27</v>
      </c>
      <c r="F71" s="70" t="s">
        <v>13</v>
      </c>
      <c r="G71" s="70" t="s">
        <v>380</v>
      </c>
      <c r="H71" s="7">
        <v>72900</v>
      </c>
      <c r="I71" s="8"/>
      <c r="J71" s="9"/>
    </row>
    <row r="72" spans="1:10" ht="39.9" customHeight="1" x14ac:dyDescent="0.3">
      <c r="A72" s="147"/>
      <c r="B72" s="72" t="s">
        <v>387</v>
      </c>
      <c r="C72" s="70" t="s">
        <v>52</v>
      </c>
      <c r="D72" s="70" t="s">
        <v>48</v>
      </c>
      <c r="E72" s="70" t="s">
        <v>27</v>
      </c>
      <c r="F72" s="70" t="s">
        <v>13</v>
      </c>
      <c r="G72" s="70" t="s">
        <v>380</v>
      </c>
      <c r="H72" s="7">
        <v>77900</v>
      </c>
      <c r="I72" s="8"/>
      <c r="J72" s="9"/>
    </row>
    <row r="73" spans="1:10" ht="39.9" customHeight="1" x14ac:dyDescent="0.3">
      <c r="A73" s="147"/>
      <c r="B73" s="72" t="s">
        <v>388</v>
      </c>
      <c r="C73" s="70" t="s">
        <v>383</v>
      </c>
      <c r="D73" s="70" t="s">
        <v>49</v>
      </c>
      <c r="E73" s="70" t="s">
        <v>27</v>
      </c>
      <c r="F73" s="70" t="s">
        <v>13</v>
      </c>
      <c r="G73" s="70" t="s">
        <v>381</v>
      </c>
      <c r="H73" s="7">
        <v>69900</v>
      </c>
      <c r="I73" s="8"/>
      <c r="J73" s="9"/>
    </row>
    <row r="74" spans="1:10" ht="39.9" customHeight="1" x14ac:dyDescent="0.3">
      <c r="A74" s="147"/>
      <c r="B74" s="72" t="s">
        <v>389</v>
      </c>
      <c r="C74" s="70" t="s">
        <v>58</v>
      </c>
      <c r="D74" s="70" t="s">
        <v>49</v>
      </c>
      <c r="E74" s="70" t="s">
        <v>27</v>
      </c>
      <c r="F74" s="70" t="s">
        <v>13</v>
      </c>
      <c r="G74" s="70" t="s">
        <v>381</v>
      </c>
      <c r="H74" s="7">
        <v>72900</v>
      </c>
      <c r="I74" s="8"/>
      <c r="J74" s="9"/>
    </row>
    <row r="75" spans="1:10" ht="39.9" customHeight="1" x14ac:dyDescent="0.3">
      <c r="A75" s="147"/>
      <c r="B75" s="72" t="s">
        <v>390</v>
      </c>
      <c r="C75" s="70" t="s">
        <v>98</v>
      </c>
      <c r="D75" s="70" t="s">
        <v>49</v>
      </c>
      <c r="E75" s="70" t="s">
        <v>27</v>
      </c>
      <c r="F75" s="70" t="s">
        <v>13</v>
      </c>
      <c r="G75" s="70" t="s">
        <v>381</v>
      </c>
      <c r="H75" s="7">
        <v>77900</v>
      </c>
      <c r="I75" s="8"/>
      <c r="J75" s="9"/>
    </row>
    <row r="76" spans="1:10" ht="20.100000000000001" customHeight="1" x14ac:dyDescent="0.3">
      <c r="A76" s="149"/>
      <c r="B76" s="149"/>
      <c r="C76" s="149"/>
      <c r="D76" s="149"/>
      <c r="E76" s="149"/>
      <c r="F76" s="149"/>
      <c r="G76" s="149"/>
      <c r="H76" s="149"/>
      <c r="I76" s="149"/>
      <c r="J76" s="149"/>
    </row>
    <row r="77" spans="1:10" ht="39.9" customHeight="1" x14ac:dyDescent="0.3">
      <c r="A77" s="139" t="s">
        <v>1660</v>
      </c>
      <c r="B77" s="140"/>
      <c r="C77" s="140"/>
      <c r="D77" s="140"/>
      <c r="E77" s="140"/>
      <c r="F77" s="140"/>
      <c r="G77" s="140"/>
      <c r="H77" s="140"/>
      <c r="I77" s="140"/>
      <c r="J77" s="140"/>
    </row>
    <row r="78" spans="1:10" ht="30" customHeight="1" x14ac:dyDescent="0.3">
      <c r="A78" s="70"/>
      <c r="B78" s="38" t="s">
        <v>2</v>
      </c>
      <c r="C78" s="4" t="s">
        <v>42</v>
      </c>
      <c r="D78" s="4" t="s">
        <v>43</v>
      </c>
      <c r="E78" s="38" t="s">
        <v>9</v>
      </c>
      <c r="F78" s="38" t="s">
        <v>10</v>
      </c>
      <c r="G78" s="4" t="s">
        <v>11</v>
      </c>
      <c r="H78" s="4" t="s">
        <v>17</v>
      </c>
      <c r="I78" s="4"/>
      <c r="J78" s="4"/>
    </row>
    <row r="79" spans="1:10" ht="21.9" customHeight="1" x14ac:dyDescent="0.3">
      <c r="A79" s="147"/>
      <c r="B79" s="72" t="s">
        <v>391</v>
      </c>
      <c r="C79" s="70" t="s">
        <v>382</v>
      </c>
      <c r="D79" s="70" t="s">
        <v>48</v>
      </c>
      <c r="E79" s="70" t="s">
        <v>27</v>
      </c>
      <c r="F79" s="70" t="s">
        <v>15</v>
      </c>
      <c r="G79" s="70" t="s">
        <v>380</v>
      </c>
      <c r="H79" s="7">
        <v>63900</v>
      </c>
      <c r="I79" s="8"/>
      <c r="J79" s="9"/>
    </row>
    <row r="80" spans="1:10" ht="21.9" customHeight="1" x14ac:dyDescent="0.3">
      <c r="A80" s="147"/>
      <c r="B80" s="72" t="s">
        <v>392</v>
      </c>
      <c r="C80" s="70" t="s">
        <v>46</v>
      </c>
      <c r="D80" s="70" t="s">
        <v>48</v>
      </c>
      <c r="E80" s="70" t="s">
        <v>27</v>
      </c>
      <c r="F80" s="70" t="s">
        <v>15</v>
      </c>
      <c r="G80" s="70" t="s">
        <v>380</v>
      </c>
      <c r="H80" s="7">
        <v>72900</v>
      </c>
      <c r="I80" s="8"/>
      <c r="J80" s="9"/>
    </row>
    <row r="81" spans="1:13" ht="21.9" customHeight="1" x14ac:dyDescent="0.3">
      <c r="A81" s="147"/>
      <c r="B81" s="72" t="s">
        <v>393</v>
      </c>
      <c r="C81" s="70" t="s">
        <v>52</v>
      </c>
      <c r="D81" s="70" t="s">
        <v>48</v>
      </c>
      <c r="E81" s="70" t="s">
        <v>27</v>
      </c>
      <c r="F81" s="70" t="s">
        <v>15</v>
      </c>
      <c r="G81" s="70" t="s">
        <v>380</v>
      </c>
      <c r="H81" s="7">
        <v>76900</v>
      </c>
      <c r="I81" s="8"/>
      <c r="J81" s="9"/>
    </row>
    <row r="82" spans="1:13" ht="21.9" customHeight="1" x14ac:dyDescent="0.3">
      <c r="A82" s="147"/>
      <c r="B82" s="72" t="s">
        <v>1372</v>
      </c>
      <c r="C82" s="70" t="s">
        <v>356</v>
      </c>
      <c r="D82" s="70" t="s">
        <v>48</v>
      </c>
      <c r="E82" s="70" t="s">
        <v>27</v>
      </c>
      <c r="F82" s="70" t="s">
        <v>15</v>
      </c>
      <c r="G82" s="70" t="s">
        <v>380</v>
      </c>
      <c r="H82" s="7">
        <v>79900</v>
      </c>
      <c r="I82" s="8"/>
      <c r="J82" s="9"/>
    </row>
    <row r="83" spans="1:13" ht="21.9" customHeight="1" x14ac:dyDescent="0.3">
      <c r="A83" s="147"/>
      <c r="B83" s="72" t="s">
        <v>394</v>
      </c>
      <c r="C83" s="70" t="s">
        <v>383</v>
      </c>
      <c r="D83" s="70" t="s">
        <v>49</v>
      </c>
      <c r="E83" s="70" t="s">
        <v>27</v>
      </c>
      <c r="F83" s="70" t="s">
        <v>15</v>
      </c>
      <c r="G83" s="70" t="s">
        <v>381</v>
      </c>
      <c r="H83" s="7">
        <v>63900</v>
      </c>
      <c r="I83" s="8"/>
      <c r="J83" s="9"/>
      <c r="L83" s="12" t="s">
        <v>1811</v>
      </c>
    </row>
    <row r="84" spans="1:13" ht="21.9" customHeight="1" x14ac:dyDescent="0.3">
      <c r="A84" s="147"/>
      <c r="B84" s="72" t="s">
        <v>395</v>
      </c>
      <c r="C84" s="70" t="s">
        <v>58</v>
      </c>
      <c r="D84" s="70" t="s">
        <v>49</v>
      </c>
      <c r="E84" s="70" t="s">
        <v>27</v>
      </c>
      <c r="F84" s="70" t="s">
        <v>15</v>
      </c>
      <c r="G84" s="70" t="s">
        <v>381</v>
      </c>
      <c r="H84" s="7">
        <v>72900</v>
      </c>
      <c r="I84" s="8"/>
      <c r="J84" s="9"/>
      <c r="L84" s="12" t="s">
        <v>1811</v>
      </c>
    </row>
    <row r="85" spans="1:13" ht="21.9" customHeight="1" x14ac:dyDescent="0.3">
      <c r="A85" s="147"/>
      <c r="B85" s="72" t="s">
        <v>396</v>
      </c>
      <c r="C85" s="70" t="s">
        <v>98</v>
      </c>
      <c r="D85" s="70" t="s">
        <v>49</v>
      </c>
      <c r="E85" s="70" t="s">
        <v>27</v>
      </c>
      <c r="F85" s="70" t="s">
        <v>15</v>
      </c>
      <c r="G85" s="70" t="s">
        <v>381</v>
      </c>
      <c r="H85" s="7">
        <v>76900</v>
      </c>
      <c r="I85" s="8"/>
      <c r="J85" s="9"/>
      <c r="L85" s="12" t="s">
        <v>1811</v>
      </c>
    </row>
    <row r="86" spans="1:13" ht="21.9" customHeight="1" x14ac:dyDescent="0.3">
      <c r="A86" s="147"/>
      <c r="B86" s="74" t="s">
        <v>1373</v>
      </c>
      <c r="C86" s="70" t="s">
        <v>384</v>
      </c>
      <c r="D86" s="70" t="s">
        <v>49</v>
      </c>
      <c r="E86" s="70" t="s">
        <v>27</v>
      </c>
      <c r="F86" s="70" t="s">
        <v>15</v>
      </c>
      <c r="G86" s="70" t="s">
        <v>381</v>
      </c>
      <c r="H86" s="7">
        <v>79900</v>
      </c>
      <c r="I86" s="8"/>
      <c r="J86" s="9"/>
      <c r="L86" s="12" t="s">
        <v>1811</v>
      </c>
      <c r="M86" s="12">
        <v>4.59</v>
      </c>
    </row>
    <row r="87" spans="1:13" ht="20.100000000000001" customHeight="1" x14ac:dyDescent="0.3">
      <c r="A87" s="149"/>
      <c r="B87" s="149"/>
      <c r="C87" s="149"/>
      <c r="D87" s="149"/>
      <c r="E87" s="149"/>
      <c r="F87" s="149"/>
      <c r="G87" s="149"/>
      <c r="H87" s="149"/>
      <c r="I87" s="149"/>
      <c r="J87" s="149"/>
    </row>
    <row r="88" spans="1:13" ht="39.9" customHeight="1" x14ac:dyDescent="0.3">
      <c r="A88" s="139" t="s">
        <v>1661</v>
      </c>
      <c r="B88" s="140"/>
      <c r="C88" s="140"/>
      <c r="D88" s="140"/>
      <c r="E88" s="140"/>
      <c r="F88" s="140"/>
      <c r="G88" s="140"/>
      <c r="H88" s="140"/>
      <c r="I88" s="140"/>
      <c r="J88" s="140"/>
    </row>
    <row r="89" spans="1:13" ht="30" customHeight="1" x14ac:dyDescent="0.3">
      <c r="A89" s="70"/>
      <c r="B89" s="38" t="s">
        <v>2</v>
      </c>
      <c r="C89" s="4" t="s">
        <v>42</v>
      </c>
      <c r="D89" s="4" t="s">
        <v>43</v>
      </c>
      <c r="E89" s="38" t="s">
        <v>9</v>
      </c>
      <c r="F89" s="38" t="s">
        <v>10</v>
      </c>
      <c r="G89" s="4" t="s">
        <v>11</v>
      </c>
      <c r="H89" s="4" t="s">
        <v>17</v>
      </c>
      <c r="I89" s="4"/>
      <c r="J89" s="4"/>
    </row>
    <row r="90" spans="1:13" ht="21.9" customHeight="1" x14ac:dyDescent="0.3">
      <c r="A90" s="147"/>
      <c r="B90" s="72" t="s">
        <v>397</v>
      </c>
      <c r="C90" s="70" t="s">
        <v>382</v>
      </c>
      <c r="D90" s="70" t="s">
        <v>48</v>
      </c>
      <c r="E90" s="70" t="s">
        <v>27</v>
      </c>
      <c r="F90" s="70" t="s">
        <v>15</v>
      </c>
      <c r="G90" s="70" t="s">
        <v>380</v>
      </c>
      <c r="H90" s="7">
        <v>83900</v>
      </c>
      <c r="I90" s="8"/>
      <c r="J90" s="9"/>
    </row>
    <row r="91" spans="1:13" ht="21.9" customHeight="1" x14ac:dyDescent="0.3">
      <c r="A91" s="147"/>
      <c r="B91" s="72" t="s">
        <v>398</v>
      </c>
      <c r="C91" s="70" t="s">
        <v>46</v>
      </c>
      <c r="D91" s="70" t="s">
        <v>48</v>
      </c>
      <c r="E91" s="70" t="s">
        <v>27</v>
      </c>
      <c r="F91" s="70" t="s">
        <v>15</v>
      </c>
      <c r="G91" s="70" t="s">
        <v>380</v>
      </c>
      <c r="H91" s="7">
        <v>93900</v>
      </c>
      <c r="I91" s="8"/>
      <c r="J91" s="9"/>
    </row>
    <row r="92" spans="1:13" ht="21.9" customHeight="1" x14ac:dyDescent="0.3">
      <c r="A92" s="147"/>
      <c r="B92" s="72" t="s">
        <v>399</v>
      </c>
      <c r="C92" s="70" t="s">
        <v>52</v>
      </c>
      <c r="D92" s="70" t="s">
        <v>48</v>
      </c>
      <c r="E92" s="70" t="s">
        <v>27</v>
      </c>
      <c r="F92" s="70" t="s">
        <v>15</v>
      </c>
      <c r="G92" s="70" t="s">
        <v>380</v>
      </c>
      <c r="H92" s="7">
        <v>98900</v>
      </c>
      <c r="I92" s="8"/>
      <c r="J92" s="9"/>
    </row>
    <row r="93" spans="1:13" ht="21.9" customHeight="1" x14ac:dyDescent="0.3">
      <c r="A93" s="147"/>
      <c r="B93" s="72" t="s">
        <v>400</v>
      </c>
      <c r="C93" s="70" t="s">
        <v>383</v>
      </c>
      <c r="D93" s="70" t="s">
        <v>49</v>
      </c>
      <c r="E93" s="70" t="s">
        <v>27</v>
      </c>
      <c r="F93" s="70" t="s">
        <v>15</v>
      </c>
      <c r="G93" s="70" t="s">
        <v>381</v>
      </c>
      <c r="H93" s="7">
        <v>83900</v>
      </c>
      <c r="I93" s="8"/>
      <c r="J93" s="9"/>
    </row>
    <row r="94" spans="1:13" ht="21.9" customHeight="1" x14ac:dyDescent="0.3">
      <c r="A94" s="147"/>
      <c r="B94" s="72" t="s">
        <v>401</v>
      </c>
      <c r="C94" s="70" t="s">
        <v>58</v>
      </c>
      <c r="D94" s="70" t="s">
        <v>49</v>
      </c>
      <c r="E94" s="70" t="s">
        <v>27</v>
      </c>
      <c r="F94" s="70" t="s">
        <v>15</v>
      </c>
      <c r="G94" s="70" t="s">
        <v>381</v>
      </c>
      <c r="H94" s="7">
        <v>93900</v>
      </c>
      <c r="I94" s="8"/>
      <c r="J94" s="9"/>
    </row>
    <row r="95" spans="1:13" ht="21.9" customHeight="1" x14ac:dyDescent="0.3">
      <c r="A95" s="147"/>
      <c r="B95" s="72" t="s">
        <v>402</v>
      </c>
      <c r="C95" s="70" t="s">
        <v>98</v>
      </c>
      <c r="D95" s="70" t="s">
        <v>49</v>
      </c>
      <c r="E95" s="70" t="s">
        <v>27</v>
      </c>
      <c r="F95" s="70" t="s">
        <v>15</v>
      </c>
      <c r="G95" s="70" t="s">
        <v>381</v>
      </c>
      <c r="H95" s="7">
        <v>98900</v>
      </c>
      <c r="I95" s="8"/>
      <c r="J95" s="9"/>
    </row>
    <row r="96" spans="1:13" ht="20.100000000000001" customHeight="1" x14ac:dyDescent="0.3">
      <c r="A96" s="149"/>
      <c r="B96" s="149"/>
      <c r="C96" s="149"/>
      <c r="D96" s="149"/>
      <c r="E96" s="149"/>
      <c r="F96" s="149"/>
      <c r="G96" s="149"/>
      <c r="H96" s="149"/>
      <c r="I96" s="149"/>
      <c r="J96" s="149"/>
    </row>
    <row r="97" spans="1:12" ht="39.9" customHeight="1" x14ac:dyDescent="0.3">
      <c r="A97" s="139" t="s">
        <v>1641</v>
      </c>
      <c r="B97" s="140"/>
      <c r="C97" s="140"/>
      <c r="D97" s="140"/>
      <c r="E97" s="140"/>
      <c r="F97" s="140"/>
      <c r="G97" s="140"/>
      <c r="H97" s="140"/>
      <c r="I97" s="140"/>
      <c r="J97" s="140"/>
    </row>
    <row r="98" spans="1:12" ht="30" customHeight="1" x14ac:dyDescent="0.3">
      <c r="A98" s="108"/>
      <c r="B98" s="38" t="s">
        <v>2</v>
      </c>
      <c r="C98" s="4" t="s">
        <v>42</v>
      </c>
      <c r="D98" s="4" t="s">
        <v>43</v>
      </c>
      <c r="E98" s="38" t="s">
        <v>9</v>
      </c>
      <c r="F98" s="38" t="s">
        <v>10</v>
      </c>
      <c r="G98" s="4" t="s">
        <v>11</v>
      </c>
      <c r="H98" s="4" t="s">
        <v>17</v>
      </c>
      <c r="I98" s="4"/>
      <c r="J98" s="4"/>
    </row>
    <row r="99" spans="1:12" ht="24.9" customHeight="1" x14ac:dyDescent="0.3">
      <c r="A99" s="147"/>
      <c r="B99" s="72" t="s">
        <v>1612</v>
      </c>
      <c r="C99" s="108" t="s">
        <v>46</v>
      </c>
      <c r="D99" s="108" t="s">
        <v>48</v>
      </c>
      <c r="E99" s="108" t="s">
        <v>27</v>
      </c>
      <c r="F99" s="108" t="s">
        <v>15</v>
      </c>
      <c r="G99" s="15" t="s">
        <v>26</v>
      </c>
      <c r="H99" s="7">
        <v>113900</v>
      </c>
      <c r="I99" s="8"/>
      <c r="J99" s="9"/>
    </row>
    <row r="100" spans="1:12" ht="24.9" customHeight="1" x14ac:dyDescent="0.3">
      <c r="A100" s="147"/>
      <c r="B100" s="72" t="s">
        <v>1613</v>
      </c>
      <c r="C100" s="108" t="s">
        <v>52</v>
      </c>
      <c r="D100" s="108" t="s">
        <v>48</v>
      </c>
      <c r="E100" s="108" t="s">
        <v>27</v>
      </c>
      <c r="F100" s="108" t="s">
        <v>15</v>
      </c>
      <c r="G100" s="15" t="s">
        <v>26</v>
      </c>
      <c r="H100" s="7">
        <v>120900</v>
      </c>
      <c r="I100" s="8"/>
      <c r="J100" s="9"/>
    </row>
    <row r="101" spans="1:12" ht="24.9" customHeight="1" x14ac:dyDescent="0.3">
      <c r="A101" s="147"/>
      <c r="B101" s="72" t="s">
        <v>1614</v>
      </c>
      <c r="C101" s="108" t="s">
        <v>53</v>
      </c>
      <c r="D101" s="108" t="s">
        <v>48</v>
      </c>
      <c r="E101" s="108" t="s">
        <v>27</v>
      </c>
      <c r="F101" s="108" t="s">
        <v>15</v>
      </c>
      <c r="G101" s="15" t="s">
        <v>26</v>
      </c>
      <c r="H101" s="7">
        <v>124900</v>
      </c>
      <c r="I101" s="8"/>
      <c r="J101" s="9"/>
    </row>
    <row r="102" spans="1:12" ht="24.9" customHeight="1" x14ac:dyDescent="0.3">
      <c r="A102" s="147"/>
      <c r="B102" s="72" t="s">
        <v>1615</v>
      </c>
      <c r="C102" s="108" t="s">
        <v>96</v>
      </c>
      <c r="D102" s="108" t="s">
        <v>48</v>
      </c>
      <c r="E102" s="108" t="s">
        <v>14</v>
      </c>
      <c r="F102" s="108" t="s">
        <v>15</v>
      </c>
      <c r="G102" s="15" t="s">
        <v>26</v>
      </c>
      <c r="H102" s="7">
        <v>142900</v>
      </c>
      <c r="I102" s="8"/>
      <c r="J102" s="9"/>
    </row>
    <row r="103" spans="1:12" ht="24.9" customHeight="1" x14ac:dyDescent="0.3">
      <c r="A103" s="147"/>
      <c r="B103" s="72" t="s">
        <v>1616</v>
      </c>
      <c r="C103" s="108" t="s">
        <v>181</v>
      </c>
      <c r="D103" s="108" t="s">
        <v>48</v>
      </c>
      <c r="E103" s="108" t="s">
        <v>14</v>
      </c>
      <c r="F103" s="108" t="s">
        <v>15</v>
      </c>
      <c r="G103" s="15" t="s">
        <v>26</v>
      </c>
      <c r="H103" s="7">
        <v>151900</v>
      </c>
      <c r="I103" s="8"/>
      <c r="J103" s="9"/>
    </row>
    <row r="104" spans="1:12" ht="24.9" customHeight="1" x14ac:dyDescent="0.3">
      <c r="A104" s="147"/>
      <c r="B104" s="72" t="s">
        <v>1617</v>
      </c>
      <c r="C104" s="108" t="s">
        <v>1625</v>
      </c>
      <c r="D104" s="108" t="s">
        <v>48</v>
      </c>
      <c r="E104" s="108" t="s">
        <v>14</v>
      </c>
      <c r="F104" s="108" t="s">
        <v>15</v>
      </c>
      <c r="G104" s="15" t="s">
        <v>26</v>
      </c>
      <c r="H104" s="7">
        <v>175900</v>
      </c>
      <c r="I104" s="8"/>
      <c r="J104" s="9"/>
    </row>
    <row r="105" spans="1:12" ht="24.9" customHeight="1" x14ac:dyDescent="0.3">
      <c r="A105" s="147"/>
      <c r="B105" s="72" t="s">
        <v>1618</v>
      </c>
      <c r="C105" s="108" t="s">
        <v>58</v>
      </c>
      <c r="D105" s="108" t="s">
        <v>49</v>
      </c>
      <c r="E105" s="108" t="s">
        <v>27</v>
      </c>
      <c r="F105" s="108" t="s">
        <v>15</v>
      </c>
      <c r="G105" s="15" t="s">
        <v>414</v>
      </c>
      <c r="H105" s="7">
        <v>113900</v>
      </c>
      <c r="I105" s="8"/>
      <c r="J105" s="9"/>
    </row>
    <row r="106" spans="1:12" ht="24.9" customHeight="1" x14ac:dyDescent="0.3">
      <c r="A106" s="147"/>
      <c r="B106" s="72" t="s">
        <v>1619</v>
      </c>
      <c r="C106" s="108" t="s">
        <v>98</v>
      </c>
      <c r="D106" s="108" t="s">
        <v>49</v>
      </c>
      <c r="E106" s="108" t="s">
        <v>27</v>
      </c>
      <c r="F106" s="108" t="s">
        <v>15</v>
      </c>
      <c r="G106" s="15" t="s">
        <v>414</v>
      </c>
      <c r="H106" s="7">
        <v>121900</v>
      </c>
      <c r="I106" s="8"/>
      <c r="J106" s="9"/>
    </row>
    <row r="107" spans="1:12" ht="24.9" customHeight="1" x14ac:dyDescent="0.3">
      <c r="A107" s="147"/>
      <c r="B107" s="72" t="s">
        <v>1620</v>
      </c>
      <c r="C107" s="108" t="s">
        <v>99</v>
      </c>
      <c r="D107" s="108" t="s">
        <v>49</v>
      </c>
      <c r="E107" s="108" t="s">
        <v>27</v>
      </c>
      <c r="F107" s="108" t="s">
        <v>15</v>
      </c>
      <c r="G107" s="15" t="s">
        <v>414</v>
      </c>
      <c r="H107" s="7">
        <v>124900</v>
      </c>
      <c r="I107" s="8"/>
      <c r="J107" s="9"/>
      <c r="L107" s="12" t="s">
        <v>1720</v>
      </c>
    </row>
    <row r="108" spans="1:12" ht="24.9" customHeight="1" x14ac:dyDescent="0.3">
      <c r="A108" s="147"/>
      <c r="B108" s="72" t="s">
        <v>1621</v>
      </c>
      <c r="C108" s="108" t="s">
        <v>100</v>
      </c>
      <c r="D108" s="108" t="s">
        <v>49</v>
      </c>
      <c r="E108" s="108" t="s">
        <v>14</v>
      </c>
      <c r="F108" s="108" t="s">
        <v>15</v>
      </c>
      <c r="G108" s="15" t="s">
        <v>414</v>
      </c>
      <c r="H108" s="7">
        <v>142900</v>
      </c>
      <c r="I108" s="8"/>
      <c r="J108" s="9"/>
    </row>
    <row r="109" spans="1:12" ht="24.9" customHeight="1" x14ac:dyDescent="0.3">
      <c r="A109" s="147"/>
      <c r="B109" s="72" t="s">
        <v>1622</v>
      </c>
      <c r="C109" s="108" t="s">
        <v>588</v>
      </c>
      <c r="D109" s="108" t="s">
        <v>49</v>
      </c>
      <c r="E109" s="108" t="s">
        <v>14</v>
      </c>
      <c r="F109" s="108" t="s">
        <v>15</v>
      </c>
      <c r="G109" s="15" t="s">
        <v>414</v>
      </c>
      <c r="H109" s="7">
        <v>175900</v>
      </c>
      <c r="I109" s="8"/>
      <c r="J109" s="9"/>
    </row>
    <row r="110" spans="1:12" ht="24.9" customHeight="1" x14ac:dyDescent="0.3">
      <c r="A110" s="147"/>
      <c r="B110" s="72" t="s">
        <v>1623</v>
      </c>
      <c r="C110" s="108" t="s">
        <v>100</v>
      </c>
      <c r="D110" s="108" t="s">
        <v>50</v>
      </c>
      <c r="E110" s="108" t="s">
        <v>27</v>
      </c>
      <c r="F110" s="108" t="s">
        <v>15</v>
      </c>
      <c r="G110" s="15" t="s">
        <v>414</v>
      </c>
      <c r="H110" s="7">
        <v>131900</v>
      </c>
      <c r="I110" s="8"/>
      <c r="J110" s="9"/>
    </row>
    <row r="111" spans="1:12" ht="24.9" customHeight="1" x14ac:dyDescent="0.3">
      <c r="A111" s="147"/>
      <c r="B111" s="72" t="s">
        <v>1624</v>
      </c>
      <c r="C111" s="108" t="s">
        <v>588</v>
      </c>
      <c r="D111" s="108" t="s">
        <v>50</v>
      </c>
      <c r="E111" s="108" t="s">
        <v>27</v>
      </c>
      <c r="F111" s="108" t="s">
        <v>15</v>
      </c>
      <c r="G111" s="15" t="s">
        <v>414</v>
      </c>
      <c r="H111" s="7">
        <v>131900</v>
      </c>
      <c r="I111" s="8"/>
      <c r="J111" s="9"/>
    </row>
    <row r="112" spans="1:12" ht="20.100000000000001" customHeight="1" x14ac:dyDescent="0.3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</row>
    <row r="113" spans="1:12" ht="39.9" customHeight="1" x14ac:dyDescent="0.3">
      <c r="A113" s="139" t="s">
        <v>1642</v>
      </c>
      <c r="B113" s="140"/>
      <c r="C113" s="140"/>
      <c r="D113" s="140"/>
      <c r="E113" s="140"/>
      <c r="F113" s="140"/>
      <c r="G113" s="140"/>
      <c r="H113" s="140"/>
      <c r="I113" s="140"/>
      <c r="J113" s="140"/>
    </row>
    <row r="114" spans="1:12" ht="30" customHeight="1" x14ac:dyDescent="0.3">
      <c r="A114" s="108"/>
      <c r="B114" s="38" t="s">
        <v>2</v>
      </c>
      <c r="C114" s="4" t="s">
        <v>42</v>
      </c>
      <c r="D114" s="4" t="s">
        <v>43</v>
      </c>
      <c r="E114" s="38" t="s">
        <v>9</v>
      </c>
      <c r="F114" s="38" t="s">
        <v>10</v>
      </c>
      <c r="G114" s="4" t="s">
        <v>11</v>
      </c>
      <c r="H114" s="4" t="s">
        <v>17</v>
      </c>
      <c r="I114" s="4"/>
      <c r="J114" s="4"/>
    </row>
    <row r="115" spans="1:12" ht="24.9" customHeight="1" x14ac:dyDescent="0.3">
      <c r="A115" s="147"/>
      <c r="B115" s="72" t="s">
        <v>1626</v>
      </c>
      <c r="C115" s="108" t="s">
        <v>382</v>
      </c>
      <c r="D115" s="108" t="s">
        <v>48</v>
      </c>
      <c r="E115" s="108" t="s">
        <v>27</v>
      </c>
      <c r="F115" s="108" t="s">
        <v>13</v>
      </c>
      <c r="G115" s="15" t="s">
        <v>26</v>
      </c>
      <c r="H115" s="7">
        <v>98900</v>
      </c>
      <c r="I115" s="8"/>
      <c r="J115" s="9"/>
    </row>
    <row r="116" spans="1:12" ht="24.9" customHeight="1" x14ac:dyDescent="0.3">
      <c r="A116" s="147"/>
      <c r="B116" s="72" t="s">
        <v>1627</v>
      </c>
      <c r="C116" s="108" t="s">
        <v>46</v>
      </c>
      <c r="D116" s="108" t="s">
        <v>48</v>
      </c>
      <c r="E116" s="108" t="s">
        <v>27</v>
      </c>
      <c r="F116" s="108" t="s">
        <v>13</v>
      </c>
      <c r="G116" s="15" t="s">
        <v>26</v>
      </c>
      <c r="H116" s="7">
        <v>102900</v>
      </c>
      <c r="I116" s="8"/>
      <c r="J116" s="9"/>
    </row>
    <row r="117" spans="1:12" ht="24.9" customHeight="1" x14ac:dyDescent="0.3">
      <c r="A117" s="147"/>
      <c r="B117" s="72" t="s">
        <v>1628</v>
      </c>
      <c r="C117" s="108" t="s">
        <v>52</v>
      </c>
      <c r="D117" s="108" t="s">
        <v>48</v>
      </c>
      <c r="E117" s="108" t="s">
        <v>27</v>
      </c>
      <c r="F117" s="108" t="s">
        <v>13</v>
      </c>
      <c r="G117" s="15" t="s">
        <v>26</v>
      </c>
      <c r="H117" s="7">
        <v>109900</v>
      </c>
      <c r="I117" s="8"/>
      <c r="J117" s="9"/>
    </row>
    <row r="118" spans="1:12" ht="24.9" customHeight="1" x14ac:dyDescent="0.3">
      <c r="A118" s="147"/>
      <c r="B118" s="72" t="s">
        <v>1629</v>
      </c>
      <c r="C118" s="108" t="s">
        <v>53</v>
      </c>
      <c r="D118" s="108" t="s">
        <v>48</v>
      </c>
      <c r="E118" s="108" t="s">
        <v>27</v>
      </c>
      <c r="F118" s="108" t="s">
        <v>13</v>
      </c>
      <c r="G118" s="15" t="s">
        <v>26</v>
      </c>
      <c r="H118" s="7">
        <v>113900</v>
      </c>
      <c r="I118" s="8"/>
      <c r="J118" s="9"/>
    </row>
    <row r="119" spans="1:12" ht="24.9" customHeight="1" x14ac:dyDescent="0.3">
      <c r="A119" s="147"/>
      <c r="B119" s="72" t="s">
        <v>1630</v>
      </c>
      <c r="C119" s="108" t="s">
        <v>96</v>
      </c>
      <c r="D119" s="108" t="s">
        <v>48</v>
      </c>
      <c r="E119" s="108" t="s">
        <v>14</v>
      </c>
      <c r="F119" s="108" t="s">
        <v>13</v>
      </c>
      <c r="G119" s="15" t="s">
        <v>26</v>
      </c>
      <c r="H119" s="7">
        <v>120900</v>
      </c>
      <c r="I119" s="8"/>
      <c r="J119" s="9"/>
    </row>
    <row r="120" spans="1:12" ht="24.9" customHeight="1" x14ac:dyDescent="0.3">
      <c r="A120" s="147"/>
      <c r="B120" s="72" t="s">
        <v>1631</v>
      </c>
      <c r="C120" s="108" t="s">
        <v>181</v>
      </c>
      <c r="D120" s="108" t="s">
        <v>48</v>
      </c>
      <c r="E120" s="108" t="s">
        <v>14</v>
      </c>
      <c r="F120" s="108" t="s">
        <v>13</v>
      </c>
      <c r="G120" s="15" t="s">
        <v>26</v>
      </c>
      <c r="H120" s="7">
        <v>140900</v>
      </c>
      <c r="I120" s="8"/>
      <c r="J120" s="9"/>
    </row>
    <row r="121" spans="1:12" ht="24.9" customHeight="1" x14ac:dyDescent="0.3">
      <c r="A121" s="147"/>
      <c r="B121" s="72" t="s">
        <v>1632</v>
      </c>
      <c r="C121" s="108" t="s">
        <v>1625</v>
      </c>
      <c r="D121" s="108" t="s">
        <v>48</v>
      </c>
      <c r="E121" s="108" t="s">
        <v>14</v>
      </c>
      <c r="F121" s="108" t="s">
        <v>13</v>
      </c>
      <c r="G121" s="15" t="s">
        <v>26</v>
      </c>
      <c r="H121" s="7">
        <v>153900</v>
      </c>
      <c r="I121" s="8"/>
      <c r="J121" s="9"/>
      <c r="L121" s="12" t="s">
        <v>1720</v>
      </c>
    </row>
    <row r="122" spans="1:12" ht="24.9" customHeight="1" x14ac:dyDescent="0.3">
      <c r="A122" s="147"/>
      <c r="B122" s="72" t="s">
        <v>1633</v>
      </c>
      <c r="C122" s="108" t="s">
        <v>383</v>
      </c>
      <c r="D122" s="108" t="s">
        <v>49</v>
      </c>
      <c r="E122" s="108" t="s">
        <v>27</v>
      </c>
      <c r="F122" s="108" t="s">
        <v>13</v>
      </c>
      <c r="G122" s="15" t="s">
        <v>414</v>
      </c>
      <c r="H122" s="7">
        <v>96900</v>
      </c>
      <c r="I122" s="8"/>
      <c r="J122" s="9"/>
    </row>
    <row r="123" spans="1:12" ht="24.9" customHeight="1" x14ac:dyDescent="0.3">
      <c r="A123" s="147"/>
      <c r="B123" s="72" t="s">
        <v>1634</v>
      </c>
      <c r="C123" s="108" t="s">
        <v>58</v>
      </c>
      <c r="D123" s="108" t="s">
        <v>49</v>
      </c>
      <c r="E123" s="108" t="s">
        <v>27</v>
      </c>
      <c r="F123" s="108" t="s">
        <v>13</v>
      </c>
      <c r="G123" s="15" t="s">
        <v>414</v>
      </c>
      <c r="H123" s="7">
        <v>102900</v>
      </c>
      <c r="I123" s="8"/>
      <c r="J123" s="9"/>
    </row>
    <row r="124" spans="1:12" ht="24.9" customHeight="1" x14ac:dyDescent="0.3">
      <c r="A124" s="147"/>
      <c r="B124" s="72" t="s">
        <v>1635</v>
      </c>
      <c r="C124" s="108" t="s">
        <v>98</v>
      </c>
      <c r="D124" s="108" t="s">
        <v>49</v>
      </c>
      <c r="E124" s="108" t="s">
        <v>27</v>
      </c>
      <c r="F124" s="108" t="s">
        <v>13</v>
      </c>
      <c r="G124" s="15" t="s">
        <v>414</v>
      </c>
      <c r="H124" s="7">
        <v>109900</v>
      </c>
      <c r="I124" s="8"/>
      <c r="J124" s="9"/>
    </row>
    <row r="125" spans="1:12" ht="24.9" customHeight="1" x14ac:dyDescent="0.3">
      <c r="A125" s="147"/>
      <c r="B125" s="72" t="s">
        <v>1636</v>
      </c>
      <c r="C125" s="108" t="s">
        <v>99</v>
      </c>
      <c r="D125" s="108" t="s">
        <v>49</v>
      </c>
      <c r="E125" s="108" t="s">
        <v>27</v>
      </c>
      <c r="F125" s="108" t="s">
        <v>13</v>
      </c>
      <c r="G125" s="15" t="s">
        <v>414</v>
      </c>
      <c r="H125" s="7">
        <v>113900</v>
      </c>
      <c r="I125" s="8"/>
      <c r="J125" s="9"/>
    </row>
    <row r="126" spans="1:12" ht="24.9" customHeight="1" x14ac:dyDescent="0.3">
      <c r="A126" s="147"/>
      <c r="B126" s="72" t="s">
        <v>1637</v>
      </c>
      <c r="C126" s="108" t="s">
        <v>100</v>
      </c>
      <c r="D126" s="108" t="s">
        <v>49</v>
      </c>
      <c r="E126" s="108" t="s">
        <v>14</v>
      </c>
      <c r="F126" s="108" t="s">
        <v>13</v>
      </c>
      <c r="G126" s="15" t="s">
        <v>414</v>
      </c>
      <c r="H126" s="7">
        <v>131900</v>
      </c>
      <c r="I126" s="8"/>
      <c r="J126" s="9"/>
    </row>
    <row r="127" spans="1:12" ht="24.9" customHeight="1" x14ac:dyDescent="0.3">
      <c r="A127" s="147"/>
      <c r="B127" s="72" t="s">
        <v>1638</v>
      </c>
      <c r="C127" s="108" t="s">
        <v>588</v>
      </c>
      <c r="D127" s="108" t="s">
        <v>49</v>
      </c>
      <c r="E127" s="108" t="s">
        <v>14</v>
      </c>
      <c r="F127" s="108" t="s">
        <v>13</v>
      </c>
      <c r="G127" s="15" t="s">
        <v>414</v>
      </c>
      <c r="H127" s="7">
        <v>150900</v>
      </c>
      <c r="I127" s="8"/>
      <c r="J127" s="9"/>
      <c r="L127" s="12" t="s">
        <v>1720</v>
      </c>
    </row>
    <row r="128" spans="1:12" ht="24.9" customHeight="1" x14ac:dyDescent="0.3">
      <c r="A128" s="147"/>
      <c r="B128" s="72" t="s">
        <v>1639</v>
      </c>
      <c r="C128" s="108" t="s">
        <v>100</v>
      </c>
      <c r="D128" s="108" t="s">
        <v>50</v>
      </c>
      <c r="E128" s="108" t="s">
        <v>27</v>
      </c>
      <c r="F128" s="108" t="s">
        <v>13</v>
      </c>
      <c r="G128" s="15" t="s">
        <v>414</v>
      </c>
      <c r="H128" s="7">
        <v>98900</v>
      </c>
      <c r="I128" s="8"/>
      <c r="J128" s="9"/>
    </row>
    <row r="129" spans="1:13" ht="24.9" customHeight="1" x14ac:dyDescent="0.3">
      <c r="A129" s="147"/>
      <c r="B129" s="72" t="s">
        <v>1640</v>
      </c>
      <c r="C129" s="108" t="s">
        <v>588</v>
      </c>
      <c r="D129" s="108" t="s">
        <v>50</v>
      </c>
      <c r="E129" s="108" t="s">
        <v>27</v>
      </c>
      <c r="F129" s="108" t="s">
        <v>13</v>
      </c>
      <c r="G129" s="15" t="s">
        <v>414</v>
      </c>
      <c r="H129" s="7">
        <v>98900</v>
      </c>
      <c r="I129" s="8"/>
      <c r="J129" s="9"/>
    </row>
    <row r="130" spans="1:13" ht="20.100000000000001" customHeight="1" x14ac:dyDescent="0.3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</row>
    <row r="131" spans="1:13" ht="39.9" customHeight="1" x14ac:dyDescent="0.3">
      <c r="A131" s="139" t="s">
        <v>1643</v>
      </c>
      <c r="B131" s="140"/>
      <c r="C131" s="140"/>
      <c r="D131" s="140"/>
      <c r="E131" s="140"/>
      <c r="F131" s="140"/>
      <c r="G131" s="140"/>
      <c r="H131" s="140"/>
      <c r="I131" s="140"/>
      <c r="J131" s="140"/>
    </row>
    <row r="132" spans="1:13" ht="30" customHeight="1" x14ac:dyDescent="0.3">
      <c r="A132" s="70"/>
      <c r="B132" s="38" t="s">
        <v>2</v>
      </c>
      <c r="C132" s="4" t="s">
        <v>42</v>
      </c>
      <c r="D132" s="4" t="s">
        <v>43</v>
      </c>
      <c r="E132" s="38" t="s">
        <v>9</v>
      </c>
      <c r="F132" s="38" t="s">
        <v>10</v>
      </c>
      <c r="G132" s="4" t="s">
        <v>11</v>
      </c>
      <c r="H132" s="4" t="s">
        <v>17</v>
      </c>
      <c r="I132" s="4"/>
      <c r="J132" s="4"/>
    </row>
    <row r="133" spans="1:13" ht="24.9" customHeight="1" x14ac:dyDescent="0.3">
      <c r="A133" s="147"/>
      <c r="B133" s="72" t="s">
        <v>403</v>
      </c>
      <c r="C133" s="70" t="s">
        <v>241</v>
      </c>
      <c r="D133" s="70" t="s">
        <v>48</v>
      </c>
      <c r="E133" s="70" t="s">
        <v>27</v>
      </c>
      <c r="F133" s="70" t="s">
        <v>15</v>
      </c>
      <c r="G133" s="15" t="s">
        <v>26</v>
      </c>
      <c r="H133" s="7">
        <v>113900</v>
      </c>
      <c r="I133" s="8"/>
      <c r="J133" s="9"/>
    </row>
    <row r="134" spans="1:13" ht="24.9" customHeight="1" x14ac:dyDescent="0.3">
      <c r="A134" s="147"/>
      <c r="B134" s="72" t="s">
        <v>404</v>
      </c>
      <c r="C134" s="70" t="s">
        <v>413</v>
      </c>
      <c r="D134" s="70" t="s">
        <v>48</v>
      </c>
      <c r="E134" s="70" t="s">
        <v>27</v>
      </c>
      <c r="F134" s="70" t="s">
        <v>15</v>
      </c>
      <c r="G134" s="15" t="s">
        <v>26</v>
      </c>
      <c r="H134" s="7">
        <v>124900</v>
      </c>
      <c r="I134" s="8"/>
      <c r="J134" s="9"/>
    </row>
    <row r="135" spans="1:13" ht="24.9" customHeight="1" x14ac:dyDescent="0.3">
      <c r="A135" s="147"/>
      <c r="B135" s="72" t="s">
        <v>405</v>
      </c>
      <c r="C135" s="78" t="s">
        <v>178</v>
      </c>
      <c r="D135" s="78" t="s">
        <v>48</v>
      </c>
      <c r="E135" s="78" t="s">
        <v>14</v>
      </c>
      <c r="F135" s="78" t="s">
        <v>15</v>
      </c>
      <c r="G135" s="15" t="s">
        <v>26</v>
      </c>
      <c r="H135" s="7">
        <v>142900</v>
      </c>
      <c r="I135" s="8"/>
      <c r="J135" s="9"/>
    </row>
    <row r="136" spans="1:13" ht="24.9" customHeight="1" x14ac:dyDescent="0.3">
      <c r="A136" s="147"/>
      <c r="B136" s="72" t="s">
        <v>406</v>
      </c>
      <c r="C136" s="70" t="s">
        <v>294</v>
      </c>
      <c r="D136" s="70" t="s">
        <v>48</v>
      </c>
      <c r="E136" s="70" t="s">
        <v>14</v>
      </c>
      <c r="F136" s="70" t="s">
        <v>15</v>
      </c>
      <c r="G136" s="15" t="s">
        <v>26</v>
      </c>
      <c r="H136" s="7">
        <v>153900</v>
      </c>
      <c r="I136" s="8"/>
      <c r="J136" s="9"/>
    </row>
    <row r="137" spans="1:13" ht="24.9" customHeight="1" x14ac:dyDescent="0.3">
      <c r="A137" s="147"/>
      <c r="B137" s="72" t="s">
        <v>407</v>
      </c>
      <c r="C137" s="70" t="s">
        <v>181</v>
      </c>
      <c r="D137" s="70" t="s">
        <v>48</v>
      </c>
      <c r="E137" s="70" t="s">
        <v>14</v>
      </c>
      <c r="F137" s="70" t="s">
        <v>15</v>
      </c>
      <c r="G137" s="15" t="s">
        <v>26</v>
      </c>
      <c r="H137" s="7">
        <v>151900</v>
      </c>
      <c r="I137" s="8"/>
      <c r="J137" s="9"/>
    </row>
    <row r="138" spans="1:13" ht="24.9" customHeight="1" x14ac:dyDescent="0.3">
      <c r="A138" s="147"/>
      <c r="B138" s="72" t="s">
        <v>408</v>
      </c>
      <c r="C138" s="70" t="s">
        <v>182</v>
      </c>
      <c r="D138" s="70" t="s">
        <v>49</v>
      </c>
      <c r="E138" s="70" t="s">
        <v>27</v>
      </c>
      <c r="F138" s="70" t="s">
        <v>15</v>
      </c>
      <c r="G138" s="15" t="s">
        <v>414</v>
      </c>
      <c r="H138" s="7">
        <v>113900</v>
      </c>
      <c r="I138" s="8"/>
      <c r="J138" s="9"/>
    </row>
    <row r="139" spans="1:13" ht="24.9" customHeight="1" x14ac:dyDescent="0.3">
      <c r="A139" s="147"/>
      <c r="B139" s="72" t="s">
        <v>409</v>
      </c>
      <c r="C139" s="70" t="s">
        <v>60</v>
      </c>
      <c r="D139" s="70" t="s">
        <v>49</v>
      </c>
      <c r="E139" s="70" t="s">
        <v>27</v>
      </c>
      <c r="F139" s="70" t="s">
        <v>15</v>
      </c>
      <c r="G139" s="15" t="s">
        <v>414</v>
      </c>
      <c r="H139" s="7">
        <v>124900</v>
      </c>
      <c r="I139" s="8"/>
      <c r="J139" s="9"/>
    </row>
    <row r="140" spans="1:13" ht="24.9" customHeight="1" x14ac:dyDescent="0.3">
      <c r="A140" s="147"/>
      <c r="B140" s="72" t="s">
        <v>410</v>
      </c>
      <c r="C140" s="70" t="s">
        <v>61</v>
      </c>
      <c r="D140" s="70" t="s">
        <v>49</v>
      </c>
      <c r="E140" s="70" t="s">
        <v>14</v>
      </c>
      <c r="F140" s="70" t="s">
        <v>15</v>
      </c>
      <c r="G140" s="15" t="s">
        <v>414</v>
      </c>
      <c r="H140" s="7">
        <v>142900</v>
      </c>
      <c r="I140" s="8"/>
      <c r="J140" s="9"/>
      <c r="L140" s="12" t="s">
        <v>1720</v>
      </c>
      <c r="M140" s="12" t="s">
        <v>1725</v>
      </c>
    </row>
    <row r="141" spans="1:13" ht="24.9" customHeight="1" x14ac:dyDescent="0.3">
      <c r="A141" s="147"/>
      <c r="B141" s="72" t="s">
        <v>411</v>
      </c>
      <c r="C141" s="70" t="s">
        <v>61</v>
      </c>
      <c r="D141" s="70" t="s">
        <v>50</v>
      </c>
      <c r="E141" s="70" t="s">
        <v>27</v>
      </c>
      <c r="F141" s="70" t="s">
        <v>15</v>
      </c>
      <c r="G141" s="15" t="s">
        <v>414</v>
      </c>
      <c r="H141" s="7">
        <v>131900</v>
      </c>
      <c r="I141" s="8"/>
      <c r="J141" s="9"/>
    </row>
    <row r="142" spans="1:13" ht="24.9" customHeight="1" x14ac:dyDescent="0.3">
      <c r="A142" s="147"/>
      <c r="B142" s="72" t="s">
        <v>412</v>
      </c>
      <c r="C142" s="70" t="s">
        <v>295</v>
      </c>
      <c r="D142" s="70" t="s">
        <v>50</v>
      </c>
      <c r="E142" s="70" t="s">
        <v>27</v>
      </c>
      <c r="F142" s="70" t="s">
        <v>15</v>
      </c>
      <c r="G142" s="15" t="s">
        <v>414</v>
      </c>
      <c r="H142" s="7">
        <v>131900</v>
      </c>
      <c r="I142" s="8"/>
      <c r="J142" s="9"/>
    </row>
    <row r="143" spans="1:13" ht="20.100000000000001" customHeight="1" x14ac:dyDescent="0.3">
      <c r="A143" s="149"/>
      <c r="B143" s="149"/>
      <c r="C143" s="149"/>
      <c r="D143" s="149"/>
      <c r="E143" s="149"/>
      <c r="F143" s="149"/>
      <c r="G143" s="149"/>
      <c r="H143" s="149"/>
      <c r="I143" s="149"/>
      <c r="J143" s="149"/>
    </row>
    <row r="144" spans="1:13" ht="39.9" customHeight="1" x14ac:dyDescent="0.3">
      <c r="A144" s="139" t="s">
        <v>1856</v>
      </c>
      <c r="B144" s="140"/>
      <c r="C144" s="140"/>
      <c r="D144" s="140"/>
      <c r="E144" s="140"/>
      <c r="F144" s="140"/>
      <c r="G144" s="140"/>
      <c r="H144" s="140"/>
      <c r="I144" s="140"/>
      <c r="J144" s="140"/>
    </row>
    <row r="145" spans="1:10" ht="30" customHeight="1" x14ac:dyDescent="0.3">
      <c r="A145" s="70"/>
      <c r="B145" s="38" t="s">
        <v>2</v>
      </c>
      <c r="C145" s="4" t="s">
        <v>42</v>
      </c>
      <c r="D145" s="4" t="s">
        <v>43</v>
      </c>
      <c r="E145" s="38" t="s">
        <v>9</v>
      </c>
      <c r="F145" s="38" t="s">
        <v>10</v>
      </c>
      <c r="G145" s="4" t="s">
        <v>11</v>
      </c>
      <c r="H145" s="4" t="s">
        <v>17</v>
      </c>
      <c r="I145" s="4" t="s">
        <v>12</v>
      </c>
      <c r="J145" s="4" t="s">
        <v>18</v>
      </c>
    </row>
    <row r="146" spans="1:10" ht="20.100000000000001" customHeight="1" x14ac:dyDescent="0.3">
      <c r="A146" s="147"/>
      <c r="B146" s="72" t="s">
        <v>415</v>
      </c>
      <c r="C146" s="70" t="s">
        <v>241</v>
      </c>
      <c r="D146" s="70" t="s">
        <v>48</v>
      </c>
      <c r="E146" s="70" t="s">
        <v>27</v>
      </c>
      <c r="F146" s="70" t="s">
        <v>13</v>
      </c>
      <c r="G146" s="15" t="s">
        <v>26</v>
      </c>
      <c r="H146" s="7">
        <v>102900</v>
      </c>
      <c r="I146" s="8"/>
      <c r="J146" s="9"/>
    </row>
    <row r="147" spans="1:10" ht="20.100000000000001" customHeight="1" x14ac:dyDescent="0.3">
      <c r="A147" s="147"/>
      <c r="B147" s="72" t="s">
        <v>416</v>
      </c>
      <c r="C147" s="70" t="s">
        <v>242</v>
      </c>
      <c r="D147" s="70" t="s">
        <v>48</v>
      </c>
      <c r="E147" s="70" t="s">
        <v>27</v>
      </c>
      <c r="F147" s="70" t="s">
        <v>13</v>
      </c>
      <c r="G147" s="15" t="s">
        <v>26</v>
      </c>
      <c r="H147" s="7">
        <v>109900</v>
      </c>
      <c r="I147" s="8"/>
      <c r="J147" s="9"/>
    </row>
    <row r="148" spans="1:10" ht="20.100000000000001" customHeight="1" x14ac:dyDescent="0.3">
      <c r="A148" s="147"/>
      <c r="B148" s="72" t="s">
        <v>417</v>
      </c>
      <c r="C148" s="70" t="s">
        <v>413</v>
      </c>
      <c r="D148" s="70" t="s">
        <v>48</v>
      </c>
      <c r="E148" s="70" t="s">
        <v>27</v>
      </c>
      <c r="F148" s="70" t="s">
        <v>13</v>
      </c>
      <c r="G148" s="15" t="s">
        <v>26</v>
      </c>
      <c r="H148" s="7">
        <v>113900</v>
      </c>
      <c r="I148" s="8"/>
      <c r="J148" s="9"/>
    </row>
    <row r="149" spans="1:10" ht="20.100000000000001" customHeight="1" x14ac:dyDescent="0.3">
      <c r="A149" s="147"/>
      <c r="B149" s="72" t="s">
        <v>418</v>
      </c>
      <c r="C149" s="70" t="s">
        <v>178</v>
      </c>
      <c r="D149" s="70" t="s">
        <v>48</v>
      </c>
      <c r="E149" s="70" t="s">
        <v>14</v>
      </c>
      <c r="F149" s="70" t="s">
        <v>13</v>
      </c>
      <c r="G149" s="15" t="s">
        <v>26</v>
      </c>
      <c r="H149" s="7">
        <v>120900</v>
      </c>
      <c r="I149" s="8"/>
      <c r="J149" s="9"/>
    </row>
    <row r="150" spans="1:10" ht="20.100000000000001" customHeight="1" x14ac:dyDescent="0.3">
      <c r="A150" s="147"/>
      <c r="B150" s="72" t="s">
        <v>419</v>
      </c>
      <c r="C150" s="70" t="s">
        <v>294</v>
      </c>
      <c r="D150" s="70" t="s">
        <v>48</v>
      </c>
      <c r="E150" s="70" t="s">
        <v>14</v>
      </c>
      <c r="F150" s="70" t="s">
        <v>13</v>
      </c>
      <c r="G150" s="15" t="s">
        <v>26</v>
      </c>
      <c r="H150" s="7">
        <v>131900</v>
      </c>
      <c r="I150" s="8"/>
      <c r="J150" s="9"/>
    </row>
    <row r="151" spans="1:10" ht="20.100000000000001" customHeight="1" x14ac:dyDescent="0.3">
      <c r="A151" s="147"/>
      <c r="B151" s="72" t="s">
        <v>420</v>
      </c>
      <c r="C151" s="70" t="s">
        <v>181</v>
      </c>
      <c r="D151" s="70" t="s">
        <v>48</v>
      </c>
      <c r="E151" s="70" t="s">
        <v>14</v>
      </c>
      <c r="F151" s="70" t="s">
        <v>13</v>
      </c>
      <c r="G151" s="15" t="s">
        <v>26</v>
      </c>
      <c r="H151" s="7">
        <v>140900</v>
      </c>
      <c r="I151" s="8"/>
      <c r="J151" s="9"/>
    </row>
    <row r="152" spans="1:10" ht="20.100000000000001" customHeight="1" x14ac:dyDescent="0.3">
      <c r="A152" s="147"/>
      <c r="B152" s="72" t="s">
        <v>421</v>
      </c>
      <c r="C152" s="70" t="s">
        <v>428</v>
      </c>
      <c r="D152" s="70" t="s">
        <v>49</v>
      </c>
      <c r="E152" s="70" t="s">
        <v>27</v>
      </c>
      <c r="F152" s="70" t="s">
        <v>13</v>
      </c>
      <c r="G152" s="15" t="s">
        <v>414</v>
      </c>
      <c r="H152" s="7">
        <v>96900</v>
      </c>
      <c r="I152" s="8"/>
      <c r="J152" s="9"/>
    </row>
    <row r="153" spans="1:10" ht="20.100000000000001" customHeight="1" x14ac:dyDescent="0.3">
      <c r="A153" s="147"/>
      <c r="B153" s="72" t="s">
        <v>422</v>
      </c>
      <c r="C153" s="70" t="s">
        <v>182</v>
      </c>
      <c r="D153" s="70" t="s">
        <v>49</v>
      </c>
      <c r="E153" s="70" t="s">
        <v>27</v>
      </c>
      <c r="F153" s="70" t="s">
        <v>13</v>
      </c>
      <c r="G153" s="15" t="s">
        <v>414</v>
      </c>
      <c r="H153" s="7">
        <v>102900</v>
      </c>
      <c r="I153" s="8"/>
      <c r="J153" s="9"/>
    </row>
    <row r="154" spans="1:10" ht="20.100000000000001" customHeight="1" x14ac:dyDescent="0.3">
      <c r="A154" s="147"/>
      <c r="B154" s="72" t="s">
        <v>423</v>
      </c>
      <c r="C154" s="70" t="s">
        <v>59</v>
      </c>
      <c r="D154" s="70" t="s">
        <v>49</v>
      </c>
      <c r="E154" s="70" t="s">
        <v>27</v>
      </c>
      <c r="F154" s="70" t="s">
        <v>13</v>
      </c>
      <c r="G154" s="15" t="s">
        <v>414</v>
      </c>
      <c r="H154" s="7">
        <v>109900</v>
      </c>
      <c r="I154" s="8"/>
      <c r="J154" s="9"/>
    </row>
    <row r="155" spans="1:10" ht="20.100000000000001" customHeight="1" x14ac:dyDescent="0.3">
      <c r="A155" s="147"/>
      <c r="B155" s="72" t="s">
        <v>424</v>
      </c>
      <c r="C155" s="70" t="s">
        <v>60</v>
      </c>
      <c r="D155" s="70" t="s">
        <v>49</v>
      </c>
      <c r="E155" s="70" t="s">
        <v>27</v>
      </c>
      <c r="F155" s="70" t="s">
        <v>13</v>
      </c>
      <c r="G155" s="15" t="s">
        <v>414</v>
      </c>
      <c r="H155" s="7">
        <v>113900</v>
      </c>
      <c r="I155" s="8"/>
      <c r="J155" s="9"/>
    </row>
    <row r="156" spans="1:10" ht="20.100000000000001" customHeight="1" x14ac:dyDescent="0.3">
      <c r="A156" s="147"/>
      <c r="B156" s="72" t="s">
        <v>425</v>
      </c>
      <c r="C156" s="70" t="s">
        <v>61</v>
      </c>
      <c r="D156" s="70" t="s">
        <v>49</v>
      </c>
      <c r="E156" s="70" t="s">
        <v>14</v>
      </c>
      <c r="F156" s="70" t="s">
        <v>13</v>
      </c>
      <c r="G156" s="15" t="s">
        <v>414</v>
      </c>
      <c r="H156" s="7">
        <v>131900</v>
      </c>
      <c r="I156" s="8"/>
      <c r="J156" s="9"/>
    </row>
    <row r="157" spans="1:10" ht="20.100000000000001" customHeight="1" x14ac:dyDescent="0.3">
      <c r="A157" s="147"/>
      <c r="B157" s="72" t="s">
        <v>426</v>
      </c>
      <c r="C157" s="70" t="s">
        <v>61</v>
      </c>
      <c r="D157" s="70" t="s">
        <v>50</v>
      </c>
      <c r="E157" s="70" t="s">
        <v>27</v>
      </c>
      <c r="F157" s="70" t="s">
        <v>13</v>
      </c>
      <c r="G157" s="15" t="s">
        <v>414</v>
      </c>
      <c r="H157" s="7">
        <v>98900</v>
      </c>
      <c r="I157" s="8"/>
      <c r="J157" s="9"/>
    </row>
    <row r="158" spans="1:10" ht="20.100000000000001" customHeight="1" x14ac:dyDescent="0.3">
      <c r="A158" s="147"/>
      <c r="B158" s="72" t="s">
        <v>427</v>
      </c>
      <c r="C158" s="70" t="s">
        <v>295</v>
      </c>
      <c r="D158" s="70" t="s">
        <v>50</v>
      </c>
      <c r="E158" s="70" t="s">
        <v>27</v>
      </c>
      <c r="F158" s="70" t="s">
        <v>13</v>
      </c>
      <c r="G158" s="15" t="s">
        <v>414</v>
      </c>
      <c r="H158" s="7">
        <v>98900</v>
      </c>
      <c r="I158" s="8"/>
      <c r="J158" s="9"/>
    </row>
    <row r="159" spans="1:10" ht="20.100000000000001" customHeight="1" x14ac:dyDescent="0.3">
      <c r="A159" s="149"/>
      <c r="B159" s="149"/>
      <c r="C159" s="149"/>
      <c r="D159" s="149"/>
      <c r="E159" s="149"/>
      <c r="F159" s="149"/>
      <c r="G159" s="149"/>
      <c r="H159" s="149"/>
      <c r="I159" s="149"/>
      <c r="J159" s="149"/>
    </row>
    <row r="160" spans="1:10" ht="39.9" customHeight="1" x14ac:dyDescent="0.3">
      <c r="A160" s="139" t="s">
        <v>1662</v>
      </c>
      <c r="B160" s="140"/>
      <c r="C160" s="140"/>
      <c r="D160" s="140"/>
      <c r="E160" s="140"/>
      <c r="F160" s="140"/>
      <c r="G160" s="140"/>
      <c r="H160" s="140"/>
      <c r="I160" s="140"/>
      <c r="J160" s="140"/>
    </row>
    <row r="161" spans="1:12" ht="30" customHeight="1" x14ac:dyDescent="0.3">
      <c r="A161" s="70"/>
      <c r="B161" s="38" t="s">
        <v>2</v>
      </c>
      <c r="C161" s="4" t="s">
        <v>42</v>
      </c>
      <c r="D161" s="4" t="s">
        <v>43</v>
      </c>
      <c r="E161" s="38" t="s">
        <v>9</v>
      </c>
      <c r="F161" s="38" t="s">
        <v>10</v>
      </c>
      <c r="G161" s="4" t="s">
        <v>11</v>
      </c>
      <c r="H161" s="4" t="s">
        <v>17</v>
      </c>
      <c r="I161" s="4" t="s">
        <v>12</v>
      </c>
      <c r="J161" s="4" t="s">
        <v>18</v>
      </c>
    </row>
    <row r="162" spans="1:12" ht="20.100000000000001" customHeight="1" x14ac:dyDescent="0.3">
      <c r="A162" s="147"/>
      <c r="B162" s="72" t="s">
        <v>429</v>
      </c>
      <c r="C162" s="70" t="s">
        <v>102</v>
      </c>
      <c r="D162" s="70" t="s">
        <v>50</v>
      </c>
      <c r="E162" s="70" t="s">
        <v>27</v>
      </c>
      <c r="F162" s="15" t="s">
        <v>15</v>
      </c>
      <c r="G162" s="15" t="s">
        <v>472</v>
      </c>
      <c r="H162" s="7">
        <v>186900</v>
      </c>
      <c r="I162" s="8"/>
      <c r="J162" s="9"/>
      <c r="L162" s="12" t="s">
        <v>1707</v>
      </c>
    </row>
    <row r="163" spans="1:12" ht="20.100000000000001" customHeight="1" x14ac:dyDescent="0.3">
      <c r="A163" s="147"/>
      <c r="B163" s="72" t="s">
        <v>430</v>
      </c>
      <c r="C163" s="70" t="s">
        <v>112</v>
      </c>
      <c r="D163" s="70" t="s">
        <v>50</v>
      </c>
      <c r="E163" s="70" t="s">
        <v>27</v>
      </c>
      <c r="F163" s="15" t="s">
        <v>15</v>
      </c>
      <c r="G163" s="15" t="s">
        <v>472</v>
      </c>
      <c r="H163" s="7">
        <v>219900</v>
      </c>
      <c r="I163" s="8"/>
      <c r="J163" s="9"/>
      <c r="L163" s="12" t="s">
        <v>1707</v>
      </c>
    </row>
    <row r="164" spans="1:12" ht="20.100000000000001" customHeight="1" x14ac:dyDescent="0.3">
      <c r="A164" s="147"/>
      <c r="B164" s="72" t="s">
        <v>431</v>
      </c>
      <c r="C164" s="70" t="s">
        <v>65</v>
      </c>
      <c r="D164" s="70" t="s">
        <v>50</v>
      </c>
      <c r="E164" s="70" t="s">
        <v>27</v>
      </c>
      <c r="F164" s="15" t="s">
        <v>15</v>
      </c>
      <c r="G164" s="15" t="s">
        <v>472</v>
      </c>
      <c r="H164" s="7">
        <v>263900</v>
      </c>
      <c r="I164" s="8"/>
      <c r="J164" s="9"/>
      <c r="L164" s="12" t="s">
        <v>1707</v>
      </c>
    </row>
    <row r="165" spans="1:12" ht="20.100000000000001" customHeight="1" x14ac:dyDescent="0.3">
      <c r="A165" s="147"/>
      <c r="B165" s="72" t="s">
        <v>432</v>
      </c>
      <c r="C165" s="70" t="s">
        <v>65</v>
      </c>
      <c r="D165" s="70" t="s">
        <v>50</v>
      </c>
      <c r="E165" s="70" t="s">
        <v>27</v>
      </c>
      <c r="F165" s="15" t="s">
        <v>15</v>
      </c>
      <c r="G165" s="15" t="s">
        <v>472</v>
      </c>
      <c r="H165" s="7">
        <v>274900</v>
      </c>
      <c r="I165" s="8"/>
      <c r="J165" s="9"/>
      <c r="L165" s="12" t="s">
        <v>1707</v>
      </c>
    </row>
    <row r="166" spans="1:12" ht="20.100000000000001" customHeight="1" x14ac:dyDescent="0.3">
      <c r="A166" s="147"/>
      <c r="B166" s="72" t="s">
        <v>433</v>
      </c>
      <c r="C166" s="70" t="s">
        <v>445</v>
      </c>
      <c r="D166" s="70" t="s">
        <v>164</v>
      </c>
      <c r="E166" s="70" t="s">
        <v>27</v>
      </c>
      <c r="F166" s="15" t="s">
        <v>15</v>
      </c>
      <c r="G166" s="15" t="s">
        <v>472</v>
      </c>
      <c r="H166" s="7">
        <v>186900</v>
      </c>
      <c r="I166" s="8"/>
      <c r="J166" s="9"/>
      <c r="L166" s="12" t="s">
        <v>1707</v>
      </c>
    </row>
    <row r="167" spans="1:12" ht="20.100000000000001" customHeight="1" x14ac:dyDescent="0.3">
      <c r="A167" s="147"/>
      <c r="B167" s="72" t="s">
        <v>434</v>
      </c>
      <c r="C167" s="70" t="s">
        <v>445</v>
      </c>
      <c r="D167" s="70" t="s">
        <v>164</v>
      </c>
      <c r="E167" s="70" t="s">
        <v>27</v>
      </c>
      <c r="F167" s="15" t="s">
        <v>15</v>
      </c>
      <c r="G167" s="15" t="s">
        <v>472</v>
      </c>
      <c r="H167" s="7">
        <v>197900</v>
      </c>
      <c r="I167" s="8"/>
      <c r="J167" s="9"/>
      <c r="L167" s="12" t="s">
        <v>1707</v>
      </c>
    </row>
    <row r="168" spans="1:12" ht="20.100000000000001" customHeight="1" x14ac:dyDescent="0.3">
      <c r="A168" s="147"/>
      <c r="B168" s="72" t="s">
        <v>435</v>
      </c>
      <c r="C168" s="70" t="s">
        <v>442</v>
      </c>
      <c r="D168" s="70" t="s">
        <v>222</v>
      </c>
      <c r="E168" s="70" t="s">
        <v>27</v>
      </c>
      <c r="F168" s="15" t="s">
        <v>15</v>
      </c>
      <c r="G168" s="15" t="s">
        <v>472</v>
      </c>
      <c r="H168" s="7">
        <v>296900</v>
      </c>
      <c r="I168" s="8"/>
      <c r="J168" s="9"/>
      <c r="L168" s="12" t="s">
        <v>1707</v>
      </c>
    </row>
    <row r="169" spans="1:12" ht="20.100000000000001" customHeight="1" x14ac:dyDescent="0.3">
      <c r="A169" s="147"/>
      <c r="B169" s="72" t="s">
        <v>436</v>
      </c>
      <c r="C169" s="70" t="s">
        <v>443</v>
      </c>
      <c r="D169" s="70" t="s">
        <v>51</v>
      </c>
      <c r="E169" s="70" t="s">
        <v>27</v>
      </c>
      <c r="F169" s="15" t="s">
        <v>15</v>
      </c>
      <c r="G169" s="15" t="s">
        <v>472</v>
      </c>
      <c r="H169" s="7">
        <v>307900</v>
      </c>
      <c r="I169" s="8"/>
      <c r="J169" s="9"/>
      <c r="L169" s="12" t="s">
        <v>1707</v>
      </c>
    </row>
    <row r="170" spans="1:12" ht="20.100000000000001" customHeight="1" x14ac:dyDescent="0.3">
      <c r="A170" s="147"/>
      <c r="B170" s="72" t="s">
        <v>1049</v>
      </c>
      <c r="C170" s="70" t="s">
        <v>443</v>
      </c>
      <c r="D170" s="70" t="s">
        <v>51</v>
      </c>
      <c r="E170" s="70" t="s">
        <v>27</v>
      </c>
      <c r="F170" s="15" t="s">
        <v>15</v>
      </c>
      <c r="G170" s="15" t="s">
        <v>472</v>
      </c>
      <c r="H170" s="7">
        <v>318900</v>
      </c>
      <c r="I170" s="8"/>
      <c r="J170" s="9"/>
      <c r="L170" s="12" t="s">
        <v>1707</v>
      </c>
    </row>
    <row r="171" spans="1:12" ht="20.100000000000001" customHeight="1" x14ac:dyDescent="0.3">
      <c r="A171" s="147"/>
      <c r="B171" s="72" t="s">
        <v>437</v>
      </c>
      <c r="C171" s="70" t="s">
        <v>443</v>
      </c>
      <c r="D171" s="70" t="s">
        <v>50</v>
      </c>
      <c r="E171" s="70" t="s">
        <v>27</v>
      </c>
      <c r="F171" s="15" t="s">
        <v>15</v>
      </c>
      <c r="G171" s="15" t="s">
        <v>472</v>
      </c>
      <c r="H171" s="7">
        <v>362900</v>
      </c>
      <c r="I171" s="8"/>
      <c r="J171" s="9"/>
      <c r="L171" s="12" t="s">
        <v>1707</v>
      </c>
    </row>
    <row r="172" spans="1:12" ht="20.100000000000001" customHeight="1" x14ac:dyDescent="0.3">
      <c r="A172" s="147"/>
      <c r="B172" s="72" t="s">
        <v>438</v>
      </c>
      <c r="C172" s="70" t="s">
        <v>443</v>
      </c>
      <c r="D172" s="70" t="s">
        <v>50</v>
      </c>
      <c r="E172" s="70" t="s">
        <v>27</v>
      </c>
      <c r="F172" s="15" t="s">
        <v>15</v>
      </c>
      <c r="G172" s="15" t="s">
        <v>472</v>
      </c>
      <c r="H172" s="7">
        <v>373900</v>
      </c>
      <c r="I172" s="8"/>
      <c r="J172" s="9"/>
      <c r="L172" s="12" t="s">
        <v>1707</v>
      </c>
    </row>
    <row r="173" spans="1:12" ht="20.100000000000001" customHeight="1" x14ac:dyDescent="0.3">
      <c r="A173" s="147"/>
      <c r="B173" s="72" t="s">
        <v>439</v>
      </c>
      <c r="C173" s="70" t="s">
        <v>444</v>
      </c>
      <c r="D173" s="70" t="s">
        <v>51</v>
      </c>
      <c r="E173" s="70" t="s">
        <v>27</v>
      </c>
      <c r="F173" s="15" t="s">
        <v>15</v>
      </c>
      <c r="G173" s="15" t="s">
        <v>473</v>
      </c>
      <c r="H173" s="7">
        <v>351900</v>
      </c>
      <c r="I173" s="8"/>
      <c r="J173" s="9"/>
      <c r="L173" s="12" t="s">
        <v>1707</v>
      </c>
    </row>
    <row r="174" spans="1:12" ht="20.100000000000001" customHeight="1" x14ac:dyDescent="0.3">
      <c r="A174" s="147"/>
      <c r="B174" s="72" t="s">
        <v>441</v>
      </c>
      <c r="C174" s="70" t="s">
        <v>444</v>
      </c>
      <c r="D174" s="70" t="s">
        <v>51</v>
      </c>
      <c r="E174" s="70" t="s">
        <v>27</v>
      </c>
      <c r="F174" s="15" t="s">
        <v>15</v>
      </c>
      <c r="G174" s="15" t="s">
        <v>473</v>
      </c>
      <c r="H174" s="7">
        <v>362900</v>
      </c>
      <c r="I174" s="8"/>
      <c r="J174" s="9"/>
      <c r="L174" s="12" t="s">
        <v>1707</v>
      </c>
    </row>
    <row r="175" spans="1:12" ht="20.100000000000001" customHeight="1" x14ac:dyDescent="0.3">
      <c r="A175" s="147"/>
      <c r="B175" s="72" t="s">
        <v>440</v>
      </c>
      <c r="C175" s="70" t="s">
        <v>446</v>
      </c>
      <c r="D175" s="70" t="s">
        <v>447</v>
      </c>
      <c r="E175" s="70" t="s">
        <v>27</v>
      </c>
      <c r="F175" s="15" t="s">
        <v>15</v>
      </c>
      <c r="G175" s="15" t="s">
        <v>473</v>
      </c>
      <c r="H175" s="7">
        <v>285900</v>
      </c>
      <c r="I175" s="8"/>
      <c r="J175" s="9"/>
      <c r="L175" s="12" t="s">
        <v>1707</v>
      </c>
    </row>
    <row r="176" spans="1:12" ht="20.100000000000001" customHeight="1" x14ac:dyDescent="0.3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</row>
    <row r="177" spans="1:12" ht="39.9" customHeight="1" x14ac:dyDescent="0.3">
      <c r="A177" s="139" t="s">
        <v>1404</v>
      </c>
      <c r="B177" s="140"/>
      <c r="C177" s="140"/>
      <c r="D177" s="140"/>
      <c r="E177" s="140"/>
      <c r="F177" s="140"/>
      <c r="G177" s="140"/>
      <c r="H177" s="140"/>
      <c r="I177" s="140"/>
      <c r="J177" s="140"/>
    </row>
    <row r="178" spans="1:12" ht="30" customHeight="1" x14ac:dyDescent="0.3">
      <c r="A178" s="70"/>
      <c r="B178" s="38" t="s">
        <v>2</v>
      </c>
      <c r="C178" s="4" t="s">
        <v>42</v>
      </c>
      <c r="D178" s="4" t="s">
        <v>43</v>
      </c>
      <c r="E178" s="38" t="s">
        <v>9</v>
      </c>
      <c r="F178" s="38" t="s">
        <v>10</v>
      </c>
      <c r="G178" s="4" t="s">
        <v>11</v>
      </c>
      <c r="H178" s="4" t="s">
        <v>17</v>
      </c>
      <c r="I178" s="4"/>
      <c r="J178" s="4"/>
    </row>
    <row r="179" spans="1:12" ht="20.100000000000001" customHeight="1" x14ac:dyDescent="0.3">
      <c r="A179" s="147"/>
      <c r="B179" s="72" t="s">
        <v>448</v>
      </c>
      <c r="C179" s="70" t="s">
        <v>45</v>
      </c>
      <c r="D179" s="70" t="s">
        <v>49</v>
      </c>
      <c r="E179" s="70" t="s">
        <v>27</v>
      </c>
      <c r="F179" s="70" t="s">
        <v>13</v>
      </c>
      <c r="G179" s="15" t="s">
        <v>474</v>
      </c>
      <c r="H179" s="7">
        <v>30900</v>
      </c>
      <c r="I179" s="8"/>
      <c r="J179" s="9"/>
    </row>
    <row r="180" spans="1:12" ht="20.100000000000001" customHeight="1" x14ac:dyDescent="0.3">
      <c r="A180" s="147"/>
      <c r="B180" s="72" t="s">
        <v>449</v>
      </c>
      <c r="C180" s="70" t="s">
        <v>195</v>
      </c>
      <c r="D180" s="70" t="s">
        <v>49</v>
      </c>
      <c r="E180" s="70" t="s">
        <v>27</v>
      </c>
      <c r="F180" s="70" t="s">
        <v>13</v>
      </c>
      <c r="G180" s="15" t="s">
        <v>474</v>
      </c>
      <c r="H180" s="7">
        <v>31900</v>
      </c>
      <c r="I180" s="8"/>
      <c r="J180" s="9"/>
    </row>
    <row r="181" spans="1:12" ht="20.100000000000001" customHeight="1" x14ac:dyDescent="0.3">
      <c r="A181" s="147"/>
      <c r="B181" s="72" t="s">
        <v>450</v>
      </c>
      <c r="C181" s="70" t="s">
        <v>190</v>
      </c>
      <c r="D181" s="70" t="s">
        <v>49</v>
      </c>
      <c r="E181" s="70" t="s">
        <v>27</v>
      </c>
      <c r="F181" s="70" t="s">
        <v>13</v>
      </c>
      <c r="G181" s="15" t="s">
        <v>474</v>
      </c>
      <c r="H181" s="7">
        <v>32900</v>
      </c>
      <c r="I181" s="8"/>
      <c r="J181" s="9"/>
    </row>
    <row r="182" spans="1:12" ht="20.100000000000001" customHeight="1" x14ac:dyDescent="0.3">
      <c r="A182" s="147"/>
      <c r="B182" s="72" t="s">
        <v>451</v>
      </c>
      <c r="C182" s="70" t="s">
        <v>464</v>
      </c>
      <c r="D182" s="70" t="s">
        <v>49</v>
      </c>
      <c r="E182" s="70" t="s">
        <v>27</v>
      </c>
      <c r="F182" s="70" t="s">
        <v>13</v>
      </c>
      <c r="G182" s="15" t="s">
        <v>474</v>
      </c>
      <c r="H182" s="7">
        <v>33900</v>
      </c>
      <c r="I182" s="8"/>
      <c r="J182" s="9"/>
    </row>
    <row r="183" spans="1:12" ht="20.100000000000001" customHeight="1" x14ac:dyDescent="0.3">
      <c r="A183" s="147"/>
      <c r="B183" s="72" t="s">
        <v>452</v>
      </c>
      <c r="C183" s="70" t="s">
        <v>191</v>
      </c>
      <c r="D183" s="70" t="s">
        <v>49</v>
      </c>
      <c r="E183" s="70" t="s">
        <v>27</v>
      </c>
      <c r="F183" s="70" t="s">
        <v>13</v>
      </c>
      <c r="G183" s="15" t="s">
        <v>474</v>
      </c>
      <c r="H183" s="7">
        <v>35900</v>
      </c>
      <c r="I183" s="8"/>
      <c r="J183" s="9"/>
    </row>
    <row r="184" spans="1:12" ht="20.100000000000001" customHeight="1" x14ac:dyDescent="0.3">
      <c r="A184" s="147"/>
      <c r="B184" s="72" t="s">
        <v>453</v>
      </c>
      <c r="C184" s="70" t="s">
        <v>191</v>
      </c>
      <c r="D184" s="70" t="s">
        <v>50</v>
      </c>
      <c r="E184" s="70" t="s">
        <v>27</v>
      </c>
      <c r="F184" s="70" t="s">
        <v>13</v>
      </c>
      <c r="G184" s="15" t="s">
        <v>475</v>
      </c>
      <c r="H184" s="7">
        <v>29900</v>
      </c>
      <c r="I184" s="8"/>
      <c r="J184" s="9"/>
    </row>
    <row r="185" spans="1:12" ht="20.100000000000001" customHeight="1" x14ac:dyDescent="0.3">
      <c r="A185" s="147"/>
      <c r="B185" s="72" t="s">
        <v>454</v>
      </c>
      <c r="C185" s="70" t="s">
        <v>57</v>
      </c>
      <c r="D185" s="70" t="s">
        <v>50</v>
      </c>
      <c r="E185" s="70" t="s">
        <v>27</v>
      </c>
      <c r="F185" s="70" t="s">
        <v>13</v>
      </c>
      <c r="G185" s="15" t="s">
        <v>475</v>
      </c>
      <c r="H185" s="7">
        <v>30900</v>
      </c>
      <c r="I185" s="8"/>
      <c r="J185" s="9"/>
    </row>
    <row r="186" spans="1:12" ht="20.100000000000001" customHeight="1" x14ac:dyDescent="0.3">
      <c r="A186" s="147"/>
      <c r="B186" s="72" t="s">
        <v>455</v>
      </c>
      <c r="C186" s="70" t="s">
        <v>175</v>
      </c>
      <c r="D186" s="70" t="s">
        <v>50</v>
      </c>
      <c r="E186" s="70" t="s">
        <v>27</v>
      </c>
      <c r="F186" s="70" t="s">
        <v>13</v>
      </c>
      <c r="G186" s="15" t="s">
        <v>475</v>
      </c>
      <c r="H186" s="7">
        <v>32900</v>
      </c>
      <c r="I186" s="8"/>
      <c r="J186" s="9"/>
    </row>
    <row r="187" spans="1:12" ht="20.100000000000001" customHeight="1" x14ac:dyDescent="0.3">
      <c r="A187" s="147"/>
      <c r="B187" s="72" t="s">
        <v>456</v>
      </c>
      <c r="C187" s="70" t="s">
        <v>192</v>
      </c>
      <c r="D187" s="70" t="s">
        <v>50</v>
      </c>
      <c r="E187" s="70" t="s">
        <v>27</v>
      </c>
      <c r="F187" s="70" t="s">
        <v>13</v>
      </c>
      <c r="G187" s="15" t="s">
        <v>475</v>
      </c>
      <c r="H187" s="7">
        <v>33900</v>
      </c>
      <c r="I187" s="8"/>
      <c r="J187" s="9"/>
    </row>
    <row r="188" spans="1:12" ht="20.100000000000001" customHeight="1" x14ac:dyDescent="0.3">
      <c r="A188" s="147"/>
      <c r="B188" s="72" t="s">
        <v>457</v>
      </c>
      <c r="C188" s="70" t="s">
        <v>465</v>
      </c>
      <c r="D188" s="70" t="s">
        <v>50</v>
      </c>
      <c r="E188" s="70" t="s">
        <v>27</v>
      </c>
      <c r="F188" s="70" t="s">
        <v>13</v>
      </c>
      <c r="G188" s="15" t="s">
        <v>475</v>
      </c>
      <c r="H188" s="7">
        <v>34900</v>
      </c>
      <c r="I188" s="8"/>
      <c r="J188" s="9"/>
    </row>
    <row r="189" spans="1:12" ht="20.100000000000001" customHeight="1" x14ac:dyDescent="0.3">
      <c r="A189" s="147"/>
      <c r="B189" s="72" t="s">
        <v>458</v>
      </c>
      <c r="C189" s="70" t="s">
        <v>176</v>
      </c>
      <c r="D189" s="70" t="s">
        <v>50</v>
      </c>
      <c r="E189" s="70" t="s">
        <v>27</v>
      </c>
      <c r="F189" s="70" t="s">
        <v>13</v>
      </c>
      <c r="G189" s="15" t="s">
        <v>475</v>
      </c>
      <c r="H189" s="7">
        <v>37900</v>
      </c>
      <c r="I189" s="8"/>
      <c r="J189" s="9"/>
    </row>
    <row r="190" spans="1:12" ht="20.100000000000001" customHeight="1" x14ac:dyDescent="0.3">
      <c r="A190" s="147"/>
      <c r="B190" s="72" t="s">
        <v>459</v>
      </c>
      <c r="C190" s="70" t="s">
        <v>176</v>
      </c>
      <c r="D190" s="70" t="s">
        <v>51</v>
      </c>
      <c r="E190" s="70" t="s">
        <v>27</v>
      </c>
      <c r="F190" s="70" t="s">
        <v>13</v>
      </c>
      <c r="G190" s="15" t="s">
        <v>475</v>
      </c>
      <c r="H190" s="7">
        <v>27900</v>
      </c>
      <c r="I190" s="8"/>
      <c r="J190" s="9"/>
    </row>
    <row r="191" spans="1:12" ht="20.100000000000001" customHeight="1" x14ac:dyDescent="0.3">
      <c r="A191" s="147"/>
      <c r="B191" s="72" t="s">
        <v>460</v>
      </c>
      <c r="C191" s="70" t="s">
        <v>102</v>
      </c>
      <c r="D191" s="70" t="s">
        <v>51</v>
      </c>
      <c r="E191" s="70" t="s">
        <v>27</v>
      </c>
      <c r="F191" s="70" t="s">
        <v>13</v>
      </c>
      <c r="G191" s="15" t="s">
        <v>475</v>
      </c>
      <c r="H191" s="7">
        <v>34900</v>
      </c>
      <c r="I191" s="8"/>
      <c r="J191" s="9"/>
      <c r="L191" s="12" t="s">
        <v>1763</v>
      </c>
    </row>
    <row r="192" spans="1:12" ht="20.100000000000001" customHeight="1" x14ac:dyDescent="0.3">
      <c r="A192" s="147"/>
      <c r="B192" s="14" t="s">
        <v>461</v>
      </c>
      <c r="C192" s="70" t="s">
        <v>466</v>
      </c>
      <c r="D192" s="70" t="s">
        <v>469</v>
      </c>
      <c r="E192" s="70" t="s">
        <v>224</v>
      </c>
      <c r="F192" s="70" t="s">
        <v>13</v>
      </c>
      <c r="G192" s="15" t="s">
        <v>474</v>
      </c>
      <c r="H192" s="7">
        <v>27900</v>
      </c>
      <c r="I192" s="8"/>
      <c r="J192" s="9"/>
      <c r="L192" s="89"/>
    </row>
    <row r="193" spans="1:12" ht="20.100000000000001" customHeight="1" x14ac:dyDescent="0.3">
      <c r="A193" s="147"/>
      <c r="B193" s="14" t="s">
        <v>462</v>
      </c>
      <c r="C193" s="70" t="s">
        <v>467</v>
      </c>
      <c r="D193" s="70" t="s">
        <v>470</v>
      </c>
      <c r="E193" s="70" t="s">
        <v>224</v>
      </c>
      <c r="F193" s="70" t="s">
        <v>13</v>
      </c>
      <c r="G193" s="15" t="s">
        <v>475</v>
      </c>
      <c r="H193" s="7">
        <v>27900</v>
      </c>
      <c r="I193" s="8"/>
      <c r="J193" s="9"/>
      <c r="L193" s="89"/>
    </row>
    <row r="194" spans="1:12" ht="20.100000000000001" customHeight="1" x14ac:dyDescent="0.3">
      <c r="A194" s="147"/>
      <c r="B194" s="14" t="s">
        <v>463</v>
      </c>
      <c r="C194" s="70" t="s">
        <v>468</v>
      </c>
      <c r="D194" s="70" t="s">
        <v>471</v>
      </c>
      <c r="E194" s="70" t="s">
        <v>224</v>
      </c>
      <c r="F194" s="70" t="s">
        <v>13</v>
      </c>
      <c r="G194" s="15" t="s">
        <v>475</v>
      </c>
      <c r="H194" s="7">
        <v>27900</v>
      </c>
      <c r="I194" s="8"/>
      <c r="J194" s="9"/>
      <c r="L194" s="89"/>
    </row>
    <row r="195" spans="1:12" ht="20.100000000000001" customHeight="1" x14ac:dyDescent="0.3">
      <c r="A195" s="149"/>
      <c r="B195" s="149"/>
      <c r="C195" s="149"/>
      <c r="D195" s="149"/>
      <c r="E195" s="149"/>
      <c r="F195" s="149"/>
      <c r="G195" s="149"/>
      <c r="H195" s="149"/>
      <c r="I195" s="149"/>
      <c r="J195" s="149"/>
    </row>
    <row r="196" spans="1:12" ht="60" customHeight="1" x14ac:dyDescent="0.3">
      <c r="A196" s="139" t="s">
        <v>1918</v>
      </c>
      <c r="B196" s="140"/>
      <c r="C196" s="140"/>
      <c r="D196" s="140"/>
      <c r="E196" s="140"/>
      <c r="F196" s="140"/>
      <c r="G196" s="140"/>
      <c r="H196" s="140"/>
      <c r="I196" s="140"/>
      <c r="J196" s="140"/>
    </row>
    <row r="197" spans="1:12" ht="30" customHeight="1" x14ac:dyDescent="0.3">
      <c r="A197" s="70"/>
      <c r="B197" s="38" t="s">
        <v>2</v>
      </c>
      <c r="C197" s="4" t="s">
        <v>42</v>
      </c>
      <c r="D197" s="4" t="s">
        <v>43</v>
      </c>
      <c r="E197" s="38" t="s">
        <v>9</v>
      </c>
      <c r="F197" s="38" t="s">
        <v>10</v>
      </c>
      <c r="G197" s="4" t="s">
        <v>11</v>
      </c>
      <c r="H197" s="4" t="s">
        <v>17</v>
      </c>
      <c r="I197" s="4"/>
      <c r="J197" s="4"/>
    </row>
    <row r="198" spans="1:12" ht="27.9" customHeight="1" x14ac:dyDescent="0.3">
      <c r="A198" s="147"/>
      <c r="B198" s="100" t="s">
        <v>972</v>
      </c>
      <c r="C198" s="70" t="s">
        <v>45</v>
      </c>
      <c r="D198" s="70" t="s">
        <v>48</v>
      </c>
      <c r="E198" s="123" t="s">
        <v>27</v>
      </c>
      <c r="F198" s="123" t="s">
        <v>13</v>
      </c>
      <c r="G198" s="15" t="s">
        <v>474</v>
      </c>
      <c r="H198" s="7">
        <v>32900</v>
      </c>
      <c r="I198" s="8"/>
      <c r="J198" s="9"/>
      <c r="L198" s="12" t="s">
        <v>1797</v>
      </c>
    </row>
    <row r="199" spans="1:12" ht="27.9" customHeight="1" x14ac:dyDescent="0.3">
      <c r="A199" s="147"/>
      <c r="B199" s="100" t="s">
        <v>973</v>
      </c>
      <c r="C199" s="70" t="s">
        <v>242</v>
      </c>
      <c r="D199" s="70" t="s">
        <v>48</v>
      </c>
      <c r="E199" s="123" t="s">
        <v>27</v>
      </c>
      <c r="F199" s="123" t="s">
        <v>13</v>
      </c>
      <c r="G199" s="15" t="s">
        <v>474</v>
      </c>
      <c r="H199" s="7">
        <v>34900</v>
      </c>
      <c r="I199" s="8"/>
      <c r="J199" s="9"/>
      <c r="L199" s="12" t="s">
        <v>1797</v>
      </c>
    </row>
    <row r="200" spans="1:12" ht="27.9" customHeight="1" x14ac:dyDescent="0.3">
      <c r="A200" s="147"/>
      <c r="B200" s="100" t="s">
        <v>974</v>
      </c>
      <c r="C200" s="70" t="s">
        <v>45</v>
      </c>
      <c r="D200" s="70" t="s">
        <v>49</v>
      </c>
      <c r="E200" s="123" t="s">
        <v>27</v>
      </c>
      <c r="F200" s="123" t="s">
        <v>13</v>
      </c>
      <c r="G200" s="15" t="s">
        <v>474</v>
      </c>
      <c r="H200" s="7">
        <v>16900</v>
      </c>
      <c r="I200" s="8"/>
      <c r="J200" s="9"/>
    </row>
    <row r="201" spans="1:12" ht="27.9" customHeight="1" x14ac:dyDescent="0.3">
      <c r="A201" s="147"/>
      <c r="B201" s="100" t="s">
        <v>975</v>
      </c>
      <c r="C201" s="70" t="s">
        <v>241</v>
      </c>
      <c r="D201" s="70" t="s">
        <v>49</v>
      </c>
      <c r="E201" s="123" t="s">
        <v>27</v>
      </c>
      <c r="F201" s="123" t="s">
        <v>13</v>
      </c>
      <c r="G201" s="15" t="s">
        <v>474</v>
      </c>
      <c r="H201" s="7">
        <v>21900</v>
      </c>
      <c r="I201" s="8"/>
      <c r="J201" s="9"/>
    </row>
    <row r="202" spans="1:12" ht="27.9" customHeight="1" x14ac:dyDescent="0.3">
      <c r="A202" s="147"/>
      <c r="B202" s="100" t="s">
        <v>976</v>
      </c>
      <c r="C202" s="70" t="s">
        <v>242</v>
      </c>
      <c r="D202" s="70" t="s">
        <v>49</v>
      </c>
      <c r="E202" s="123" t="s">
        <v>27</v>
      </c>
      <c r="F202" s="123" t="s">
        <v>13</v>
      </c>
      <c r="G202" s="15" t="s">
        <v>474</v>
      </c>
      <c r="H202" s="7">
        <v>23900</v>
      </c>
      <c r="I202" s="8"/>
      <c r="J202" s="9"/>
    </row>
    <row r="203" spans="1:12" ht="27.9" customHeight="1" x14ac:dyDescent="0.3">
      <c r="A203" s="147"/>
      <c r="B203" s="100" t="s">
        <v>977</v>
      </c>
      <c r="C203" s="70" t="s">
        <v>178</v>
      </c>
      <c r="D203" s="70" t="s">
        <v>49</v>
      </c>
      <c r="E203" s="123" t="s">
        <v>27</v>
      </c>
      <c r="F203" s="123" t="s">
        <v>13</v>
      </c>
      <c r="G203" s="15" t="s">
        <v>474</v>
      </c>
      <c r="H203" s="7">
        <v>25900</v>
      </c>
      <c r="I203" s="8"/>
      <c r="J203" s="9"/>
    </row>
    <row r="204" spans="1:12" ht="27.9" customHeight="1" x14ac:dyDescent="0.3">
      <c r="A204" s="147"/>
      <c r="B204" s="100" t="s">
        <v>1916</v>
      </c>
      <c r="C204" s="128" t="s">
        <v>57</v>
      </c>
      <c r="D204" s="128" t="s">
        <v>49</v>
      </c>
      <c r="E204" s="128" t="s">
        <v>27</v>
      </c>
      <c r="F204" s="128" t="s">
        <v>13</v>
      </c>
      <c r="G204" s="15" t="s">
        <v>982</v>
      </c>
      <c r="H204" s="7">
        <v>36000</v>
      </c>
      <c r="I204" s="8"/>
      <c r="J204" s="9"/>
    </row>
    <row r="205" spans="1:12" ht="27.9" customHeight="1" x14ac:dyDescent="0.3">
      <c r="A205" s="147"/>
      <c r="B205" s="100" t="s">
        <v>978</v>
      </c>
      <c r="C205" s="70" t="s">
        <v>179</v>
      </c>
      <c r="D205" s="70" t="s">
        <v>50</v>
      </c>
      <c r="E205" s="123" t="s">
        <v>27</v>
      </c>
      <c r="F205" s="123" t="s">
        <v>13</v>
      </c>
      <c r="G205" s="15" t="s">
        <v>982</v>
      </c>
      <c r="H205" s="7">
        <v>22900</v>
      </c>
      <c r="I205" s="8"/>
      <c r="J205" s="9"/>
    </row>
    <row r="206" spans="1:12" ht="27.9" customHeight="1" x14ac:dyDescent="0.3">
      <c r="A206" s="147"/>
      <c r="B206" s="100" t="s">
        <v>979</v>
      </c>
      <c r="C206" s="70" t="s">
        <v>182</v>
      </c>
      <c r="D206" s="70" t="s">
        <v>50</v>
      </c>
      <c r="E206" s="123" t="s">
        <v>27</v>
      </c>
      <c r="F206" s="123" t="s">
        <v>13</v>
      </c>
      <c r="G206" s="15" t="s">
        <v>982</v>
      </c>
      <c r="H206" s="7">
        <v>23900</v>
      </c>
      <c r="I206" s="8"/>
      <c r="J206" s="9"/>
    </row>
    <row r="207" spans="1:12" ht="27.9" customHeight="1" x14ac:dyDescent="0.3">
      <c r="A207" s="147"/>
      <c r="B207" s="100" t="s">
        <v>980</v>
      </c>
      <c r="C207" s="70" t="s">
        <v>59</v>
      </c>
      <c r="D207" s="70" t="s">
        <v>50</v>
      </c>
      <c r="E207" s="123" t="s">
        <v>27</v>
      </c>
      <c r="F207" s="123" t="s">
        <v>13</v>
      </c>
      <c r="G207" s="15" t="s">
        <v>982</v>
      </c>
      <c r="H207" s="7">
        <v>25900</v>
      </c>
      <c r="I207" s="8"/>
      <c r="J207" s="9"/>
    </row>
    <row r="208" spans="1:12" ht="27.9" customHeight="1" x14ac:dyDescent="0.3">
      <c r="A208" s="147"/>
      <c r="B208" s="100" t="s">
        <v>1917</v>
      </c>
      <c r="C208" s="128" t="s">
        <v>59</v>
      </c>
      <c r="D208" s="128" t="s">
        <v>49</v>
      </c>
      <c r="E208" s="128" t="s">
        <v>27</v>
      </c>
      <c r="F208" s="128" t="s">
        <v>13</v>
      </c>
      <c r="G208" s="15" t="s">
        <v>982</v>
      </c>
      <c r="H208" s="7">
        <v>41400</v>
      </c>
      <c r="I208" s="8"/>
      <c r="J208" s="9"/>
    </row>
    <row r="209" spans="1:10" ht="27.9" customHeight="1" x14ac:dyDescent="0.3">
      <c r="A209" s="147"/>
      <c r="B209" s="100" t="s">
        <v>981</v>
      </c>
      <c r="C209" s="70" t="s">
        <v>61</v>
      </c>
      <c r="D209" s="70" t="s">
        <v>50</v>
      </c>
      <c r="E209" s="123" t="s">
        <v>27</v>
      </c>
      <c r="F209" s="123" t="s">
        <v>13</v>
      </c>
      <c r="G209" s="15" t="s">
        <v>982</v>
      </c>
      <c r="H209" s="7">
        <v>31900</v>
      </c>
      <c r="I209" s="8"/>
      <c r="J209" s="9"/>
    </row>
    <row r="210" spans="1:10" ht="20.100000000000001" customHeight="1" x14ac:dyDescent="0.3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</row>
    <row r="211" spans="1:10" ht="60" customHeight="1" x14ac:dyDescent="0.3">
      <c r="A211" s="139" t="s">
        <v>1652</v>
      </c>
      <c r="B211" s="140"/>
      <c r="C211" s="140"/>
      <c r="D211" s="140"/>
      <c r="E211" s="140"/>
      <c r="F211" s="140"/>
      <c r="G211" s="140"/>
      <c r="H211" s="140"/>
      <c r="I211" s="140"/>
      <c r="J211" s="140"/>
    </row>
    <row r="212" spans="1:10" ht="30" customHeight="1" x14ac:dyDescent="0.3">
      <c r="A212" s="70"/>
      <c r="B212" s="38" t="s">
        <v>2</v>
      </c>
      <c r="C212" s="4" t="s">
        <v>42</v>
      </c>
      <c r="D212" s="4" t="s">
        <v>43</v>
      </c>
      <c r="E212" s="38" t="s">
        <v>9</v>
      </c>
      <c r="F212" s="38" t="s">
        <v>10</v>
      </c>
      <c r="G212" s="4" t="s">
        <v>11</v>
      </c>
      <c r="H212" s="4" t="s">
        <v>17</v>
      </c>
      <c r="I212" s="4"/>
      <c r="J212" s="4"/>
    </row>
    <row r="213" spans="1:10" ht="20.100000000000001" customHeight="1" x14ac:dyDescent="0.3">
      <c r="A213" s="147"/>
      <c r="B213" s="72" t="s">
        <v>476</v>
      </c>
      <c r="C213" s="70" t="s">
        <v>483</v>
      </c>
      <c r="D213" s="70" t="s">
        <v>222</v>
      </c>
      <c r="E213" s="70" t="s">
        <v>224</v>
      </c>
      <c r="F213" s="70" t="s">
        <v>13</v>
      </c>
      <c r="G213" s="15" t="s">
        <v>487</v>
      </c>
      <c r="H213" s="7">
        <v>8900</v>
      </c>
      <c r="I213" s="8"/>
      <c r="J213" s="9"/>
    </row>
    <row r="214" spans="1:10" ht="20.100000000000001" customHeight="1" x14ac:dyDescent="0.3">
      <c r="A214" s="147"/>
      <c r="B214" s="72" t="s">
        <v>477</v>
      </c>
      <c r="C214" s="70" t="s">
        <v>484</v>
      </c>
      <c r="D214" s="70" t="s">
        <v>51</v>
      </c>
      <c r="E214" s="70" t="s">
        <v>224</v>
      </c>
      <c r="F214" s="70" t="s">
        <v>13</v>
      </c>
      <c r="G214" s="15" t="s">
        <v>487</v>
      </c>
      <c r="H214" s="7">
        <v>8900</v>
      </c>
      <c r="I214" s="8"/>
      <c r="J214" s="9"/>
    </row>
    <row r="215" spans="1:10" ht="20.100000000000001" customHeight="1" x14ac:dyDescent="0.3">
      <c r="A215" s="147"/>
      <c r="B215" s="72" t="s">
        <v>478</v>
      </c>
      <c r="C215" s="70" t="s">
        <v>220</v>
      </c>
      <c r="D215" s="70" t="s">
        <v>196</v>
      </c>
      <c r="E215" s="70" t="s">
        <v>224</v>
      </c>
      <c r="F215" s="70" t="s">
        <v>13</v>
      </c>
      <c r="G215" s="15" t="s">
        <v>487</v>
      </c>
      <c r="H215" s="7">
        <v>9900</v>
      </c>
      <c r="I215" s="8"/>
      <c r="J215" s="9"/>
    </row>
    <row r="216" spans="1:10" ht="20.100000000000001" customHeight="1" x14ac:dyDescent="0.3">
      <c r="A216" s="147"/>
      <c r="B216" s="72" t="s">
        <v>479</v>
      </c>
      <c r="C216" s="70" t="s">
        <v>220</v>
      </c>
      <c r="D216" s="70" t="s">
        <v>51</v>
      </c>
      <c r="E216" s="70" t="s">
        <v>224</v>
      </c>
      <c r="F216" s="70" t="s">
        <v>13</v>
      </c>
      <c r="G216" s="15" t="s">
        <v>487</v>
      </c>
      <c r="H216" s="7">
        <v>9900</v>
      </c>
      <c r="I216" s="8"/>
      <c r="J216" s="9"/>
    </row>
    <row r="217" spans="1:10" ht="20.100000000000001" customHeight="1" x14ac:dyDescent="0.3">
      <c r="A217" s="147"/>
      <c r="B217" s="72" t="s">
        <v>480</v>
      </c>
      <c r="C217" s="70" t="s">
        <v>102</v>
      </c>
      <c r="D217" s="70" t="s">
        <v>180</v>
      </c>
      <c r="E217" s="70" t="s">
        <v>224</v>
      </c>
      <c r="F217" s="70" t="s">
        <v>13</v>
      </c>
      <c r="G217" s="15" t="s">
        <v>487</v>
      </c>
      <c r="H217" s="7">
        <v>10900</v>
      </c>
      <c r="I217" s="8"/>
      <c r="J217" s="9"/>
    </row>
    <row r="218" spans="1:10" ht="20.100000000000001" customHeight="1" x14ac:dyDescent="0.3">
      <c r="A218" s="147"/>
      <c r="B218" s="72" t="s">
        <v>481</v>
      </c>
      <c r="C218" s="70" t="s">
        <v>63</v>
      </c>
      <c r="D218" s="70" t="s">
        <v>485</v>
      </c>
      <c r="E218" s="70" t="s">
        <v>224</v>
      </c>
      <c r="F218" s="70" t="s">
        <v>13</v>
      </c>
      <c r="G218" s="15" t="s">
        <v>487</v>
      </c>
      <c r="H218" s="7">
        <v>11900</v>
      </c>
      <c r="I218" s="8"/>
      <c r="J218" s="9"/>
    </row>
    <row r="219" spans="1:10" ht="20.100000000000001" customHeight="1" x14ac:dyDescent="0.3">
      <c r="A219" s="147"/>
      <c r="B219" s="72" t="s">
        <v>482</v>
      </c>
      <c r="C219" s="70" t="s">
        <v>177</v>
      </c>
      <c r="D219" s="70" t="s">
        <v>486</v>
      </c>
      <c r="E219" s="70" t="s">
        <v>224</v>
      </c>
      <c r="F219" s="70" t="s">
        <v>13</v>
      </c>
      <c r="G219" s="15" t="s">
        <v>487</v>
      </c>
      <c r="H219" s="7">
        <v>11900</v>
      </c>
      <c r="I219" s="8"/>
      <c r="J219" s="9"/>
    </row>
    <row r="220" spans="1:10" ht="20.100000000000001" customHeight="1" x14ac:dyDescent="0.3">
      <c r="A220" s="149"/>
      <c r="B220" s="149"/>
      <c r="C220" s="149"/>
      <c r="D220" s="149"/>
      <c r="E220" s="149"/>
      <c r="F220" s="149"/>
      <c r="G220" s="149"/>
      <c r="H220" s="149"/>
      <c r="I220" s="149"/>
      <c r="J220" s="149"/>
    </row>
    <row r="221" spans="1:10" ht="60" customHeight="1" x14ac:dyDescent="0.3">
      <c r="A221" s="139" t="s">
        <v>1653</v>
      </c>
      <c r="B221" s="140"/>
      <c r="C221" s="140"/>
      <c r="D221" s="140"/>
      <c r="E221" s="140"/>
      <c r="F221" s="140"/>
      <c r="G221" s="140"/>
      <c r="H221" s="140"/>
      <c r="I221" s="140"/>
      <c r="J221" s="140"/>
    </row>
    <row r="222" spans="1:10" ht="30" customHeight="1" x14ac:dyDescent="0.3">
      <c r="A222" s="70"/>
      <c r="B222" s="38" t="s">
        <v>2</v>
      </c>
      <c r="C222" s="4" t="s">
        <v>42</v>
      </c>
      <c r="D222" s="4" t="s">
        <v>43</v>
      </c>
      <c r="E222" s="38" t="s">
        <v>9</v>
      </c>
      <c r="F222" s="38" t="s">
        <v>10</v>
      </c>
      <c r="G222" s="4" t="s">
        <v>11</v>
      </c>
      <c r="H222" s="4" t="s">
        <v>17</v>
      </c>
      <c r="I222" s="4"/>
      <c r="J222" s="4"/>
    </row>
    <row r="223" spans="1:10" ht="20.100000000000001" customHeight="1" x14ac:dyDescent="0.3">
      <c r="A223" s="147"/>
      <c r="B223" s="72" t="s">
        <v>488</v>
      </c>
      <c r="C223" s="70" t="s">
        <v>483</v>
      </c>
      <c r="D223" s="70" t="s">
        <v>222</v>
      </c>
      <c r="E223" s="70" t="s">
        <v>224</v>
      </c>
      <c r="F223" s="70" t="s">
        <v>13</v>
      </c>
      <c r="G223" s="15" t="s">
        <v>487</v>
      </c>
      <c r="H223" s="7">
        <v>21900</v>
      </c>
      <c r="I223" s="8"/>
      <c r="J223" s="9"/>
    </row>
    <row r="224" spans="1:10" ht="20.100000000000001" customHeight="1" x14ac:dyDescent="0.3">
      <c r="A224" s="147"/>
      <c r="B224" s="72" t="s">
        <v>489</v>
      </c>
      <c r="C224" s="70" t="s">
        <v>484</v>
      </c>
      <c r="D224" s="70" t="s">
        <v>51</v>
      </c>
      <c r="E224" s="70" t="s">
        <v>224</v>
      </c>
      <c r="F224" s="70" t="s">
        <v>13</v>
      </c>
      <c r="G224" s="15" t="s">
        <v>487</v>
      </c>
      <c r="H224" s="7">
        <v>21900</v>
      </c>
      <c r="I224" s="8"/>
      <c r="J224" s="9"/>
    </row>
    <row r="225" spans="1:12" ht="20.100000000000001" customHeight="1" x14ac:dyDescent="0.3">
      <c r="A225" s="147"/>
      <c r="B225" s="72" t="s">
        <v>490</v>
      </c>
      <c r="C225" s="70" t="s">
        <v>220</v>
      </c>
      <c r="D225" s="70" t="s">
        <v>196</v>
      </c>
      <c r="E225" s="70" t="s">
        <v>224</v>
      </c>
      <c r="F225" s="70" t="s">
        <v>13</v>
      </c>
      <c r="G225" s="15" t="s">
        <v>487</v>
      </c>
      <c r="H225" s="7">
        <v>22900</v>
      </c>
      <c r="I225" s="8"/>
      <c r="J225" s="9"/>
    </row>
    <row r="226" spans="1:12" ht="20.100000000000001" customHeight="1" x14ac:dyDescent="0.3">
      <c r="A226" s="147"/>
      <c r="B226" s="72" t="s">
        <v>491</v>
      </c>
      <c r="C226" s="70" t="s">
        <v>220</v>
      </c>
      <c r="D226" s="70" t="s">
        <v>51</v>
      </c>
      <c r="E226" s="70" t="s">
        <v>224</v>
      </c>
      <c r="F226" s="70" t="s">
        <v>13</v>
      </c>
      <c r="G226" s="15" t="s">
        <v>487</v>
      </c>
      <c r="H226" s="7">
        <v>22900</v>
      </c>
      <c r="I226" s="8"/>
      <c r="J226" s="9"/>
    </row>
    <row r="227" spans="1:12" ht="20.100000000000001" customHeight="1" x14ac:dyDescent="0.3">
      <c r="A227" s="147"/>
      <c r="B227" s="72" t="s">
        <v>492</v>
      </c>
      <c r="C227" s="70" t="s">
        <v>221</v>
      </c>
      <c r="D227" s="70" t="s">
        <v>180</v>
      </c>
      <c r="E227" s="70" t="s">
        <v>224</v>
      </c>
      <c r="F227" s="70" t="s">
        <v>13</v>
      </c>
      <c r="G227" s="15" t="s">
        <v>487</v>
      </c>
      <c r="H227" s="7">
        <v>24900</v>
      </c>
      <c r="I227" s="8"/>
      <c r="J227" s="9"/>
    </row>
    <row r="228" spans="1:12" ht="20.100000000000001" customHeight="1" x14ac:dyDescent="0.3">
      <c r="A228" s="147"/>
      <c r="B228" s="72" t="s">
        <v>493</v>
      </c>
      <c r="C228" s="70" t="s">
        <v>63</v>
      </c>
      <c r="D228" s="70" t="s">
        <v>485</v>
      </c>
      <c r="E228" s="70" t="s">
        <v>224</v>
      </c>
      <c r="F228" s="70" t="s">
        <v>13</v>
      </c>
      <c r="G228" s="15" t="s">
        <v>487</v>
      </c>
      <c r="H228" s="7">
        <v>24900</v>
      </c>
      <c r="I228" s="8"/>
      <c r="J228" s="9"/>
    </row>
    <row r="229" spans="1:12" ht="20.100000000000001" customHeight="1" x14ac:dyDescent="0.3">
      <c r="A229" s="149"/>
      <c r="B229" s="149"/>
      <c r="C229" s="149"/>
      <c r="D229" s="149"/>
      <c r="E229" s="149"/>
      <c r="F229" s="149"/>
      <c r="G229" s="149"/>
      <c r="H229" s="149"/>
      <c r="I229" s="149"/>
      <c r="J229" s="149"/>
    </row>
    <row r="230" spans="1:12" ht="39.9" customHeight="1" x14ac:dyDescent="0.3">
      <c r="A230" s="150" t="s">
        <v>1405</v>
      </c>
      <c r="B230" s="151"/>
      <c r="C230" s="151"/>
      <c r="D230" s="151"/>
      <c r="E230" s="151"/>
      <c r="F230" s="151"/>
      <c r="G230" s="151"/>
      <c r="H230" s="151"/>
      <c r="I230" s="151"/>
      <c r="J230" s="151"/>
    </row>
    <row r="231" spans="1:12" ht="30" customHeight="1" x14ac:dyDescent="0.3">
      <c r="A231" s="70"/>
      <c r="B231" s="38" t="s">
        <v>2</v>
      </c>
      <c r="C231" s="4" t="s">
        <v>42</v>
      </c>
      <c r="D231" s="4" t="s">
        <v>43</v>
      </c>
      <c r="E231" s="38" t="s">
        <v>9</v>
      </c>
      <c r="F231" s="38" t="s">
        <v>10</v>
      </c>
      <c r="G231" s="4" t="s">
        <v>11</v>
      </c>
      <c r="H231" s="4" t="s">
        <v>17</v>
      </c>
      <c r="I231" s="4" t="s">
        <v>12</v>
      </c>
      <c r="J231" s="4" t="s">
        <v>18</v>
      </c>
    </row>
    <row r="232" spans="1:12" ht="120" customHeight="1" x14ac:dyDescent="0.3">
      <c r="A232" s="70"/>
      <c r="B232" s="72" t="s">
        <v>494</v>
      </c>
      <c r="C232" s="70" t="s">
        <v>189</v>
      </c>
      <c r="D232" s="70" t="s">
        <v>50</v>
      </c>
      <c r="E232" s="70" t="s">
        <v>187</v>
      </c>
      <c r="F232" s="70" t="s">
        <v>13</v>
      </c>
      <c r="G232" s="15" t="s">
        <v>495</v>
      </c>
      <c r="H232" s="7">
        <v>3900</v>
      </c>
      <c r="I232" s="8"/>
      <c r="J232" s="9"/>
    </row>
    <row r="233" spans="1:12" ht="20.100000000000001" customHeight="1" x14ac:dyDescent="0.3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</row>
    <row r="234" spans="1:12" ht="60" customHeight="1" x14ac:dyDescent="0.3">
      <c r="A234" s="139" t="s">
        <v>1656</v>
      </c>
      <c r="B234" s="140"/>
      <c r="C234" s="140"/>
      <c r="D234" s="140"/>
      <c r="E234" s="140"/>
      <c r="F234" s="140"/>
      <c r="G234" s="140"/>
      <c r="H234" s="140"/>
      <c r="I234" s="140"/>
      <c r="J234" s="140"/>
    </row>
    <row r="235" spans="1:12" ht="30" customHeight="1" x14ac:dyDescent="0.3">
      <c r="A235" s="70"/>
      <c r="B235" s="38" t="s">
        <v>2</v>
      </c>
      <c r="C235" s="4" t="s">
        <v>42</v>
      </c>
      <c r="D235" s="4" t="s">
        <v>43</v>
      </c>
      <c r="E235" s="38" t="s">
        <v>9</v>
      </c>
      <c r="F235" s="38" t="s">
        <v>10</v>
      </c>
      <c r="G235" s="4" t="s">
        <v>11</v>
      </c>
      <c r="H235" s="4" t="s">
        <v>17</v>
      </c>
      <c r="I235" s="4" t="s">
        <v>12</v>
      </c>
      <c r="J235" s="4" t="s">
        <v>18</v>
      </c>
    </row>
    <row r="236" spans="1:12" ht="30" customHeight="1" x14ac:dyDescent="0.3">
      <c r="A236" s="147"/>
      <c r="B236" s="72" t="s">
        <v>496</v>
      </c>
      <c r="C236" s="70" t="s">
        <v>190</v>
      </c>
      <c r="D236" s="70" t="s">
        <v>50</v>
      </c>
      <c r="E236" s="70" t="s">
        <v>961</v>
      </c>
      <c r="F236" s="70" t="s">
        <v>13</v>
      </c>
      <c r="G236" s="15" t="s">
        <v>501</v>
      </c>
      <c r="H236" s="7">
        <v>17900</v>
      </c>
      <c r="I236" s="8"/>
      <c r="J236" s="9"/>
      <c r="L236" s="12" t="s">
        <v>1805</v>
      </c>
    </row>
    <row r="237" spans="1:12" ht="30" customHeight="1" x14ac:dyDescent="0.3">
      <c r="A237" s="147"/>
      <c r="B237" s="72" t="s">
        <v>497</v>
      </c>
      <c r="C237" s="70" t="s">
        <v>483</v>
      </c>
      <c r="D237" s="70" t="s">
        <v>222</v>
      </c>
      <c r="E237" s="70" t="s">
        <v>961</v>
      </c>
      <c r="F237" s="70" t="s">
        <v>13</v>
      </c>
      <c r="G237" s="15" t="s">
        <v>501</v>
      </c>
      <c r="H237" s="7">
        <v>16900</v>
      </c>
      <c r="I237" s="8"/>
      <c r="J237" s="9"/>
      <c r="L237" s="12" t="s">
        <v>1805</v>
      </c>
    </row>
    <row r="238" spans="1:12" ht="30" customHeight="1" x14ac:dyDescent="0.3">
      <c r="A238" s="147"/>
      <c r="B238" s="72" t="s">
        <v>498</v>
      </c>
      <c r="C238" s="70" t="s">
        <v>500</v>
      </c>
      <c r="D238" s="70" t="s">
        <v>51</v>
      </c>
      <c r="E238" s="70" t="s">
        <v>961</v>
      </c>
      <c r="F238" s="70" t="s">
        <v>13</v>
      </c>
      <c r="G238" s="15" t="s">
        <v>501</v>
      </c>
      <c r="H238" s="7">
        <v>17900</v>
      </c>
      <c r="I238" s="8"/>
      <c r="J238" s="9"/>
      <c r="L238" s="12" t="s">
        <v>1805</v>
      </c>
    </row>
    <row r="239" spans="1:12" ht="30" customHeight="1" x14ac:dyDescent="0.3">
      <c r="A239" s="147"/>
      <c r="B239" s="72" t="s">
        <v>499</v>
      </c>
      <c r="C239" s="70" t="s">
        <v>500</v>
      </c>
      <c r="D239" s="70" t="s">
        <v>51</v>
      </c>
      <c r="E239" s="70" t="s">
        <v>961</v>
      </c>
      <c r="F239" s="70" t="s">
        <v>13</v>
      </c>
      <c r="G239" s="15" t="s">
        <v>502</v>
      </c>
      <c r="H239" s="7">
        <v>17900</v>
      </c>
      <c r="I239" s="8"/>
      <c r="J239" s="9"/>
    </row>
    <row r="240" spans="1:12" ht="20.100000000000001" customHeight="1" x14ac:dyDescent="0.3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</row>
    <row r="241" spans="1:10" ht="60" customHeight="1" x14ac:dyDescent="0.3">
      <c r="A241" s="139" t="s">
        <v>1959</v>
      </c>
      <c r="B241" s="140"/>
      <c r="C241" s="140"/>
      <c r="D241" s="140"/>
      <c r="E241" s="140"/>
      <c r="F241" s="140"/>
      <c r="G241" s="140"/>
      <c r="H241" s="140"/>
      <c r="I241" s="140"/>
      <c r="J241" s="140"/>
    </row>
    <row r="242" spans="1:10" ht="30" customHeight="1" x14ac:dyDescent="0.3">
      <c r="A242" s="70"/>
      <c r="B242" s="38" t="s">
        <v>2</v>
      </c>
      <c r="C242" s="4" t="s">
        <v>42</v>
      </c>
      <c r="D242" s="4" t="s">
        <v>43</v>
      </c>
      <c r="E242" s="38" t="s">
        <v>9</v>
      </c>
      <c r="F242" s="38" t="s">
        <v>10</v>
      </c>
      <c r="G242" s="4" t="s">
        <v>11</v>
      </c>
      <c r="H242" s="4" t="s">
        <v>17</v>
      </c>
      <c r="I242" s="4"/>
      <c r="J242" s="4"/>
    </row>
    <row r="243" spans="1:10" ht="30" customHeight="1" x14ac:dyDescent="0.3">
      <c r="A243" s="152"/>
      <c r="B243" s="72" t="s">
        <v>984</v>
      </c>
      <c r="C243" s="33" t="s">
        <v>45</v>
      </c>
      <c r="D243" s="33" t="s">
        <v>49</v>
      </c>
      <c r="E243" s="70" t="s">
        <v>961</v>
      </c>
      <c r="F243" s="70" t="s">
        <v>13</v>
      </c>
      <c r="G243" s="15" t="s">
        <v>983</v>
      </c>
      <c r="H243" s="7">
        <v>13900</v>
      </c>
      <c r="I243" s="8"/>
      <c r="J243" s="9"/>
    </row>
    <row r="244" spans="1:10" ht="30" customHeight="1" x14ac:dyDescent="0.3">
      <c r="A244" s="153"/>
      <c r="B244" s="72" t="s">
        <v>503</v>
      </c>
      <c r="C244" s="70" t="s">
        <v>242</v>
      </c>
      <c r="D244" s="70" t="s">
        <v>50</v>
      </c>
      <c r="E244" s="70" t="s">
        <v>961</v>
      </c>
      <c r="F244" s="70" t="s">
        <v>13</v>
      </c>
      <c r="G244" s="15" t="s">
        <v>507</v>
      </c>
      <c r="H244" s="7">
        <v>5400</v>
      </c>
      <c r="I244" s="8"/>
      <c r="J244" s="9"/>
    </row>
    <row r="245" spans="1:10" ht="30" customHeight="1" x14ac:dyDescent="0.3">
      <c r="A245" s="153"/>
      <c r="B245" s="72" t="s">
        <v>504</v>
      </c>
      <c r="C245" s="70" t="s">
        <v>54</v>
      </c>
      <c r="D245" s="70" t="s">
        <v>50</v>
      </c>
      <c r="E245" s="70" t="s">
        <v>961</v>
      </c>
      <c r="F245" s="70" t="s">
        <v>13</v>
      </c>
      <c r="G245" s="15" t="s">
        <v>507</v>
      </c>
      <c r="H245" s="7">
        <v>6900</v>
      </c>
      <c r="I245" s="8"/>
      <c r="J245" s="9"/>
    </row>
    <row r="246" spans="1:10" ht="30" customHeight="1" x14ac:dyDescent="0.3">
      <c r="A246" s="153"/>
      <c r="B246" s="72" t="s">
        <v>505</v>
      </c>
      <c r="C246" s="70" t="s">
        <v>59</v>
      </c>
      <c r="D246" s="70" t="s">
        <v>51</v>
      </c>
      <c r="E246" s="70" t="s">
        <v>961</v>
      </c>
      <c r="F246" s="70" t="s">
        <v>13</v>
      </c>
      <c r="G246" s="15" t="s">
        <v>507</v>
      </c>
      <c r="H246" s="7">
        <v>4900</v>
      </c>
      <c r="I246" s="8"/>
      <c r="J246" s="9"/>
    </row>
    <row r="247" spans="1:10" ht="30" customHeight="1" x14ac:dyDescent="0.3">
      <c r="A247" s="154"/>
      <c r="B247" s="72" t="s">
        <v>506</v>
      </c>
      <c r="C247" s="70" t="s">
        <v>183</v>
      </c>
      <c r="D247" s="70" t="s">
        <v>51</v>
      </c>
      <c r="E247" s="70" t="s">
        <v>961</v>
      </c>
      <c r="F247" s="70" t="s">
        <v>13</v>
      </c>
      <c r="G247" s="15" t="s">
        <v>507</v>
      </c>
      <c r="H247" s="7">
        <v>6900</v>
      </c>
      <c r="I247" s="8"/>
      <c r="J247" s="9"/>
    </row>
    <row r="248" spans="1:10" ht="20.100000000000001" customHeight="1" x14ac:dyDescent="0.3">
      <c r="A248" s="149"/>
      <c r="B248" s="149"/>
      <c r="C248" s="149"/>
      <c r="D248" s="149"/>
      <c r="E248" s="149"/>
      <c r="F248" s="149"/>
      <c r="G248" s="149"/>
      <c r="H248" s="149"/>
      <c r="I248" s="149"/>
      <c r="J248" s="149"/>
    </row>
    <row r="249" spans="1:10" ht="39.9" customHeight="1" x14ac:dyDescent="0.3">
      <c r="A249" s="139" t="s">
        <v>1300</v>
      </c>
      <c r="B249" s="140"/>
      <c r="C249" s="140"/>
      <c r="D249" s="140"/>
      <c r="E249" s="140"/>
      <c r="F249" s="140"/>
      <c r="G249" s="140"/>
      <c r="H249" s="140"/>
      <c r="I249" s="140"/>
      <c r="J249" s="140"/>
    </row>
    <row r="250" spans="1:10" ht="30" customHeight="1" x14ac:dyDescent="0.3">
      <c r="A250" s="70"/>
      <c r="B250" s="38" t="s">
        <v>2</v>
      </c>
      <c r="C250" s="4" t="s">
        <v>42</v>
      </c>
      <c r="D250" s="4" t="s">
        <v>43</v>
      </c>
      <c r="E250" s="38" t="s">
        <v>9</v>
      </c>
      <c r="F250" s="38" t="s">
        <v>10</v>
      </c>
      <c r="G250" s="4" t="s">
        <v>11</v>
      </c>
      <c r="H250" s="4" t="s">
        <v>17</v>
      </c>
      <c r="I250" s="4"/>
      <c r="J250" s="4"/>
    </row>
    <row r="251" spans="1:10" ht="20.100000000000001" customHeight="1" x14ac:dyDescent="0.3">
      <c r="A251" s="147"/>
      <c r="B251" s="38" t="s">
        <v>508</v>
      </c>
      <c r="C251" s="70" t="s">
        <v>211</v>
      </c>
      <c r="D251" s="70" t="s">
        <v>186</v>
      </c>
      <c r="E251" s="70" t="s">
        <v>961</v>
      </c>
      <c r="F251" s="70" t="s">
        <v>13</v>
      </c>
      <c r="G251" s="15" t="s">
        <v>518</v>
      </c>
      <c r="H251" s="7">
        <v>88900</v>
      </c>
      <c r="I251" s="8"/>
      <c r="J251" s="9"/>
    </row>
    <row r="252" spans="1:10" ht="20.100000000000001" customHeight="1" x14ac:dyDescent="0.3">
      <c r="A252" s="147"/>
      <c r="B252" s="38" t="s">
        <v>509</v>
      </c>
      <c r="C252" s="70" t="s">
        <v>483</v>
      </c>
      <c r="D252" s="70" t="s">
        <v>50</v>
      </c>
      <c r="E252" s="70" t="s">
        <v>961</v>
      </c>
      <c r="F252" s="70" t="s">
        <v>13</v>
      </c>
      <c r="G252" s="15" t="s">
        <v>518</v>
      </c>
      <c r="H252" s="7">
        <v>89900</v>
      </c>
      <c r="I252" s="8"/>
      <c r="J252" s="9"/>
    </row>
    <row r="253" spans="1:10" ht="20.100000000000001" customHeight="1" x14ac:dyDescent="0.3">
      <c r="A253" s="147"/>
      <c r="B253" s="38" t="s">
        <v>510</v>
      </c>
      <c r="C253" s="70" t="s">
        <v>484</v>
      </c>
      <c r="D253" s="70" t="s">
        <v>212</v>
      </c>
      <c r="E253" s="70" t="s">
        <v>961</v>
      </c>
      <c r="F253" s="70" t="s">
        <v>13</v>
      </c>
      <c r="G253" s="15" t="s">
        <v>519</v>
      </c>
      <c r="H253" s="7">
        <v>89900</v>
      </c>
      <c r="I253" s="8"/>
      <c r="J253" s="9"/>
    </row>
    <row r="254" spans="1:10" ht="20.100000000000001" customHeight="1" x14ac:dyDescent="0.3">
      <c r="A254" s="147"/>
      <c r="B254" s="38" t="s">
        <v>511</v>
      </c>
      <c r="C254" s="70" t="s">
        <v>220</v>
      </c>
      <c r="D254" s="70" t="s">
        <v>222</v>
      </c>
      <c r="E254" s="70" t="s">
        <v>961</v>
      </c>
      <c r="F254" s="70" t="s">
        <v>13</v>
      </c>
      <c r="G254" s="15" t="s">
        <v>519</v>
      </c>
      <c r="H254" s="7">
        <v>58900</v>
      </c>
      <c r="I254" s="8"/>
      <c r="J254" s="9"/>
    </row>
    <row r="255" spans="1:10" ht="20.100000000000001" customHeight="1" x14ac:dyDescent="0.3">
      <c r="A255" s="147"/>
      <c r="B255" s="38" t="s">
        <v>512</v>
      </c>
      <c r="C255" s="70" t="s">
        <v>221</v>
      </c>
      <c r="D255" s="70" t="s">
        <v>51</v>
      </c>
      <c r="E255" s="70" t="s">
        <v>961</v>
      </c>
      <c r="F255" s="70" t="s">
        <v>13</v>
      </c>
      <c r="G255" s="15" t="s">
        <v>519</v>
      </c>
      <c r="H255" s="7">
        <v>89900</v>
      </c>
      <c r="I255" s="8"/>
      <c r="J255" s="9"/>
    </row>
    <row r="256" spans="1:10" ht="20.100000000000001" customHeight="1" x14ac:dyDescent="0.3">
      <c r="A256" s="147"/>
      <c r="B256" s="38" t="s">
        <v>513</v>
      </c>
      <c r="C256" s="70" t="s">
        <v>63</v>
      </c>
      <c r="D256" s="70" t="s">
        <v>196</v>
      </c>
      <c r="E256" s="70" t="s">
        <v>961</v>
      </c>
      <c r="F256" s="70" t="s">
        <v>13</v>
      </c>
      <c r="G256" s="15" t="s">
        <v>519</v>
      </c>
      <c r="H256" s="7">
        <v>89900</v>
      </c>
      <c r="I256" s="8"/>
      <c r="J256" s="9"/>
    </row>
    <row r="257" spans="1:10" ht="20.100000000000001" customHeight="1" x14ac:dyDescent="0.3">
      <c r="A257" s="147"/>
      <c r="B257" s="38" t="s">
        <v>514</v>
      </c>
      <c r="C257" s="70" t="s">
        <v>517</v>
      </c>
      <c r="D257" s="70" t="s">
        <v>180</v>
      </c>
      <c r="E257" s="70" t="s">
        <v>961</v>
      </c>
      <c r="F257" s="70" t="s">
        <v>13</v>
      </c>
      <c r="G257" s="15" t="s">
        <v>519</v>
      </c>
      <c r="H257" s="7">
        <v>86900</v>
      </c>
      <c r="I257" s="8"/>
      <c r="J257" s="9"/>
    </row>
    <row r="258" spans="1:10" ht="20.100000000000001" customHeight="1" x14ac:dyDescent="0.3">
      <c r="A258" s="147"/>
      <c r="B258" s="38" t="s">
        <v>515</v>
      </c>
      <c r="C258" s="70" t="s">
        <v>211</v>
      </c>
      <c r="D258" s="70" t="s">
        <v>185</v>
      </c>
      <c r="E258" s="70" t="s">
        <v>961</v>
      </c>
      <c r="F258" s="70" t="s">
        <v>13</v>
      </c>
      <c r="G258" s="15" t="s">
        <v>26</v>
      </c>
      <c r="H258" s="7">
        <v>120900</v>
      </c>
      <c r="I258" s="8"/>
      <c r="J258" s="9"/>
    </row>
    <row r="259" spans="1:10" ht="20.100000000000001" customHeight="1" x14ac:dyDescent="0.3">
      <c r="A259" s="147"/>
      <c r="B259" s="38" t="s">
        <v>516</v>
      </c>
      <c r="C259" s="70" t="s">
        <v>220</v>
      </c>
      <c r="D259" s="70" t="s">
        <v>212</v>
      </c>
      <c r="E259" s="70" t="s">
        <v>961</v>
      </c>
      <c r="F259" s="70" t="s">
        <v>13</v>
      </c>
      <c r="G259" s="15" t="s">
        <v>414</v>
      </c>
      <c r="H259" s="7">
        <v>103900</v>
      </c>
      <c r="I259" s="8"/>
      <c r="J259" s="9"/>
    </row>
    <row r="260" spans="1:10" ht="20.100000000000001" customHeight="1" x14ac:dyDescent="0.3">
      <c r="A260" s="149"/>
      <c r="B260" s="149"/>
      <c r="C260" s="149"/>
      <c r="D260" s="149"/>
      <c r="E260" s="149"/>
      <c r="F260" s="149"/>
      <c r="G260" s="149"/>
      <c r="H260" s="149"/>
      <c r="I260" s="149"/>
      <c r="J260" s="149"/>
    </row>
    <row r="261" spans="1:10" ht="39.9" customHeight="1" x14ac:dyDescent="0.3">
      <c r="A261" s="139" t="s">
        <v>1406</v>
      </c>
      <c r="B261" s="140"/>
      <c r="C261" s="140"/>
      <c r="D261" s="140"/>
      <c r="E261" s="140"/>
      <c r="F261" s="140"/>
      <c r="G261" s="140"/>
      <c r="H261" s="140"/>
      <c r="I261" s="140"/>
      <c r="J261" s="140"/>
    </row>
    <row r="262" spans="1:10" ht="30" customHeight="1" x14ac:dyDescent="0.3">
      <c r="A262" s="70"/>
      <c r="B262" s="38" t="s">
        <v>2</v>
      </c>
      <c r="C262" s="4" t="s">
        <v>42</v>
      </c>
      <c r="D262" s="4" t="s">
        <v>43</v>
      </c>
      <c r="E262" s="38" t="s">
        <v>9</v>
      </c>
      <c r="F262" s="38" t="s">
        <v>10</v>
      </c>
      <c r="G262" s="4" t="s">
        <v>11</v>
      </c>
      <c r="H262" s="4" t="s">
        <v>17</v>
      </c>
      <c r="I262" s="4"/>
      <c r="J262" s="4"/>
    </row>
    <row r="263" spans="1:10" ht="39.9" customHeight="1" x14ac:dyDescent="0.3">
      <c r="A263" s="147"/>
      <c r="B263" s="72" t="s">
        <v>520</v>
      </c>
      <c r="C263" s="70" t="s">
        <v>523</v>
      </c>
      <c r="D263" s="70" t="s">
        <v>952</v>
      </c>
      <c r="E263" s="70" t="s">
        <v>224</v>
      </c>
      <c r="F263" s="70" t="s">
        <v>13</v>
      </c>
      <c r="G263" s="15" t="s">
        <v>524</v>
      </c>
      <c r="H263" s="7">
        <v>72900</v>
      </c>
      <c r="I263" s="8"/>
      <c r="J263" s="9"/>
    </row>
    <row r="264" spans="1:10" ht="39.9" customHeight="1" x14ac:dyDescent="0.3">
      <c r="A264" s="147"/>
      <c r="B264" s="72" t="s">
        <v>521</v>
      </c>
      <c r="C264" s="70" t="s">
        <v>62</v>
      </c>
      <c r="D264" s="70" t="s">
        <v>953</v>
      </c>
      <c r="E264" s="70" t="s">
        <v>224</v>
      </c>
      <c r="F264" s="70" t="s">
        <v>13</v>
      </c>
      <c r="G264" s="15" t="s">
        <v>524</v>
      </c>
      <c r="H264" s="7">
        <v>76900</v>
      </c>
      <c r="I264" s="8"/>
      <c r="J264" s="9"/>
    </row>
    <row r="265" spans="1:10" ht="39.9" customHeight="1" x14ac:dyDescent="0.3">
      <c r="A265" s="147"/>
      <c r="B265" s="72" t="s">
        <v>522</v>
      </c>
      <c r="C265" s="70" t="s">
        <v>177</v>
      </c>
      <c r="D265" s="70" t="s">
        <v>954</v>
      </c>
      <c r="E265" s="70" t="s">
        <v>224</v>
      </c>
      <c r="F265" s="70" t="s">
        <v>13</v>
      </c>
      <c r="G265" s="15" t="s">
        <v>525</v>
      </c>
      <c r="H265" s="7">
        <v>98900</v>
      </c>
      <c r="I265" s="8"/>
      <c r="J265" s="9"/>
    </row>
    <row r="266" spans="1:10" ht="20.100000000000001" customHeight="1" x14ac:dyDescent="0.3">
      <c r="A266" s="149"/>
      <c r="B266" s="149"/>
      <c r="C266" s="149"/>
      <c r="D266" s="149"/>
      <c r="E266" s="149"/>
      <c r="F266" s="149"/>
      <c r="G266" s="149"/>
      <c r="H266" s="149"/>
      <c r="I266" s="149"/>
      <c r="J266" s="149"/>
    </row>
    <row r="267" spans="1:10" ht="39.9" customHeight="1" x14ac:dyDescent="0.3">
      <c r="A267" s="139" t="s">
        <v>1407</v>
      </c>
      <c r="B267" s="140"/>
      <c r="C267" s="140"/>
      <c r="D267" s="140"/>
      <c r="E267" s="140"/>
      <c r="F267" s="140"/>
      <c r="G267" s="140"/>
      <c r="H267" s="140"/>
      <c r="I267" s="140"/>
      <c r="J267" s="140"/>
    </row>
    <row r="268" spans="1:10" ht="30" customHeight="1" x14ac:dyDescent="0.3">
      <c r="A268" s="70"/>
      <c r="B268" s="38" t="s">
        <v>2</v>
      </c>
      <c r="C268" s="4" t="s">
        <v>42</v>
      </c>
      <c r="D268" s="4" t="s">
        <v>43</v>
      </c>
      <c r="E268" s="38" t="s">
        <v>9</v>
      </c>
      <c r="F268" s="38" t="s">
        <v>10</v>
      </c>
      <c r="G268" s="4" t="s">
        <v>11</v>
      </c>
      <c r="H268" s="4" t="s">
        <v>17</v>
      </c>
      <c r="I268" s="4"/>
      <c r="J268" s="4"/>
    </row>
    <row r="269" spans="1:10" ht="30" customHeight="1" x14ac:dyDescent="0.3">
      <c r="A269" s="147"/>
      <c r="B269" s="72" t="s">
        <v>526</v>
      </c>
      <c r="C269" s="70" t="s">
        <v>177</v>
      </c>
      <c r="D269" s="70" t="s">
        <v>955</v>
      </c>
      <c r="E269" s="70" t="s">
        <v>224</v>
      </c>
      <c r="F269" s="70" t="s">
        <v>13</v>
      </c>
      <c r="G269" s="15" t="s">
        <v>536</v>
      </c>
      <c r="H269" s="7">
        <v>40900</v>
      </c>
      <c r="I269" s="8"/>
      <c r="J269" s="9"/>
    </row>
    <row r="270" spans="1:10" ht="30" customHeight="1" x14ac:dyDescent="0.3">
      <c r="A270" s="147"/>
      <c r="B270" s="72" t="s">
        <v>527</v>
      </c>
      <c r="C270" s="70" t="s">
        <v>66</v>
      </c>
      <c r="D270" s="70" t="s">
        <v>956</v>
      </c>
      <c r="E270" s="70" t="s">
        <v>224</v>
      </c>
      <c r="F270" s="70" t="s">
        <v>13</v>
      </c>
      <c r="G270" s="15" t="s">
        <v>536</v>
      </c>
      <c r="H270" s="7">
        <v>42900</v>
      </c>
      <c r="I270" s="8"/>
      <c r="J270" s="9"/>
    </row>
    <row r="271" spans="1:10" ht="30" customHeight="1" x14ac:dyDescent="0.3">
      <c r="A271" s="147"/>
      <c r="B271" s="72" t="s">
        <v>528</v>
      </c>
      <c r="C271" s="70" t="s">
        <v>534</v>
      </c>
      <c r="D271" s="70" t="s">
        <v>957</v>
      </c>
      <c r="E271" s="70" t="s">
        <v>224</v>
      </c>
      <c r="F271" s="70" t="s">
        <v>13</v>
      </c>
      <c r="G271" s="15" t="s">
        <v>536</v>
      </c>
      <c r="H271" s="7">
        <v>42900</v>
      </c>
      <c r="I271" s="8"/>
      <c r="J271" s="9"/>
    </row>
    <row r="272" spans="1:10" ht="30" customHeight="1" x14ac:dyDescent="0.3">
      <c r="A272" s="147"/>
      <c r="B272" s="72" t="s">
        <v>529</v>
      </c>
      <c r="C272" s="70" t="s">
        <v>177</v>
      </c>
      <c r="D272" s="70" t="s">
        <v>955</v>
      </c>
      <c r="E272" s="70" t="s">
        <v>224</v>
      </c>
      <c r="F272" s="70" t="s">
        <v>13</v>
      </c>
      <c r="G272" s="15" t="s">
        <v>536</v>
      </c>
      <c r="H272" s="7">
        <v>42900</v>
      </c>
      <c r="I272" s="8"/>
      <c r="J272" s="9"/>
    </row>
    <row r="273" spans="1:10" ht="30" customHeight="1" x14ac:dyDescent="0.3">
      <c r="A273" s="147"/>
      <c r="B273" s="72" t="s">
        <v>530</v>
      </c>
      <c r="C273" s="70" t="s">
        <v>66</v>
      </c>
      <c r="D273" s="70" t="s">
        <v>956</v>
      </c>
      <c r="E273" s="70" t="s">
        <v>224</v>
      </c>
      <c r="F273" s="70" t="s">
        <v>13</v>
      </c>
      <c r="G273" s="15" t="s">
        <v>536</v>
      </c>
      <c r="H273" s="7">
        <v>45900</v>
      </c>
      <c r="I273" s="8"/>
      <c r="J273" s="9"/>
    </row>
    <row r="274" spans="1:10" ht="30" customHeight="1" x14ac:dyDescent="0.3">
      <c r="A274" s="147"/>
      <c r="B274" s="72" t="s">
        <v>531</v>
      </c>
      <c r="C274" s="70" t="s">
        <v>534</v>
      </c>
      <c r="D274" s="70" t="s">
        <v>957</v>
      </c>
      <c r="E274" s="70" t="s">
        <v>224</v>
      </c>
      <c r="F274" s="70" t="s">
        <v>13</v>
      </c>
      <c r="G274" s="15" t="s">
        <v>536</v>
      </c>
      <c r="H274" s="7">
        <v>45900</v>
      </c>
      <c r="I274" s="8"/>
      <c r="J274" s="9"/>
    </row>
    <row r="275" spans="1:10" ht="30" customHeight="1" x14ac:dyDescent="0.3">
      <c r="A275" s="147"/>
      <c r="B275" s="72" t="s">
        <v>532</v>
      </c>
      <c r="C275" s="70" t="s">
        <v>66</v>
      </c>
      <c r="D275" s="70" t="s">
        <v>956</v>
      </c>
      <c r="E275" s="70" t="s">
        <v>224</v>
      </c>
      <c r="F275" s="70" t="s">
        <v>13</v>
      </c>
      <c r="G275" s="15" t="s">
        <v>535</v>
      </c>
      <c r="H275" s="7">
        <v>45900</v>
      </c>
      <c r="I275" s="8"/>
      <c r="J275" s="9"/>
    </row>
    <row r="276" spans="1:10" ht="30" customHeight="1" x14ac:dyDescent="0.3">
      <c r="A276" s="147"/>
      <c r="B276" s="72" t="s">
        <v>533</v>
      </c>
      <c r="C276" s="70" t="s">
        <v>534</v>
      </c>
      <c r="D276" s="70" t="s">
        <v>957</v>
      </c>
      <c r="E276" s="70" t="s">
        <v>224</v>
      </c>
      <c r="F276" s="70" t="s">
        <v>13</v>
      </c>
      <c r="G276" s="15" t="s">
        <v>535</v>
      </c>
      <c r="H276" s="7">
        <v>47900</v>
      </c>
      <c r="I276" s="8"/>
      <c r="J276" s="9"/>
    </row>
    <row r="277" spans="1:10" ht="20.100000000000001" customHeight="1" x14ac:dyDescent="0.3">
      <c r="A277" s="149"/>
      <c r="B277" s="149"/>
      <c r="C277" s="149"/>
      <c r="D277" s="149"/>
      <c r="E277" s="149"/>
      <c r="F277" s="149"/>
      <c r="G277" s="149"/>
      <c r="H277" s="149"/>
      <c r="I277" s="149"/>
      <c r="J277" s="149"/>
    </row>
    <row r="278" spans="1:10" ht="60" customHeight="1" x14ac:dyDescent="0.3">
      <c r="A278" s="139" t="s">
        <v>1647</v>
      </c>
      <c r="B278" s="140"/>
      <c r="C278" s="140"/>
      <c r="D278" s="140"/>
      <c r="E278" s="140"/>
      <c r="F278" s="140"/>
      <c r="G278" s="140"/>
      <c r="H278" s="140"/>
      <c r="I278" s="140"/>
      <c r="J278" s="140"/>
    </row>
    <row r="279" spans="1:10" ht="30" customHeight="1" x14ac:dyDescent="0.3">
      <c r="A279" s="70"/>
      <c r="B279" s="38" t="s">
        <v>2</v>
      </c>
      <c r="C279" s="4" t="s">
        <v>42</v>
      </c>
      <c r="D279" s="4" t="s">
        <v>43</v>
      </c>
      <c r="E279" s="38" t="s">
        <v>9</v>
      </c>
      <c r="F279" s="38" t="s">
        <v>10</v>
      </c>
      <c r="G279" s="4" t="s">
        <v>11</v>
      </c>
      <c r="H279" s="4" t="s">
        <v>17</v>
      </c>
      <c r="I279" s="4"/>
      <c r="J279" s="4"/>
    </row>
    <row r="280" spans="1:10" ht="20.100000000000001" customHeight="1" x14ac:dyDescent="0.3">
      <c r="A280" s="147"/>
      <c r="B280" s="65" t="s">
        <v>537</v>
      </c>
      <c r="C280" s="66" t="s">
        <v>544</v>
      </c>
      <c r="D280" s="66" t="s">
        <v>471</v>
      </c>
      <c r="E280" s="66" t="s">
        <v>224</v>
      </c>
      <c r="F280" s="66" t="s">
        <v>13</v>
      </c>
      <c r="G280" s="75" t="s">
        <v>524</v>
      </c>
      <c r="H280" s="67" t="s">
        <v>187</v>
      </c>
      <c r="I280" s="68"/>
      <c r="J280" s="69"/>
    </row>
    <row r="281" spans="1:10" ht="20.100000000000001" customHeight="1" x14ac:dyDescent="0.3">
      <c r="A281" s="147"/>
      <c r="B281" s="65" t="s">
        <v>538</v>
      </c>
      <c r="C281" s="66" t="s">
        <v>545</v>
      </c>
      <c r="D281" s="66" t="s">
        <v>549</v>
      </c>
      <c r="E281" s="66" t="s">
        <v>224</v>
      </c>
      <c r="F281" s="66" t="s">
        <v>13</v>
      </c>
      <c r="G281" s="75" t="s">
        <v>551</v>
      </c>
      <c r="H281" s="67" t="s">
        <v>187</v>
      </c>
      <c r="I281" s="68"/>
      <c r="J281" s="69"/>
    </row>
    <row r="282" spans="1:10" ht="20.100000000000001" customHeight="1" x14ac:dyDescent="0.3">
      <c r="A282" s="147"/>
      <c r="B282" s="65" t="s">
        <v>539</v>
      </c>
      <c r="C282" s="66" t="s">
        <v>546</v>
      </c>
      <c r="D282" s="66" t="s">
        <v>550</v>
      </c>
      <c r="E282" s="66" t="s">
        <v>224</v>
      </c>
      <c r="F282" s="66" t="s">
        <v>13</v>
      </c>
      <c r="G282" s="75" t="s">
        <v>535</v>
      </c>
      <c r="H282" s="67" t="s">
        <v>187</v>
      </c>
      <c r="I282" s="68"/>
      <c r="J282" s="69"/>
    </row>
    <row r="283" spans="1:10" ht="20.100000000000001" customHeight="1" x14ac:dyDescent="0.3">
      <c r="A283" s="147"/>
      <c r="B283" s="65" t="s">
        <v>540</v>
      </c>
      <c r="C283" s="66" t="s">
        <v>221</v>
      </c>
      <c r="D283" s="66" t="s">
        <v>51</v>
      </c>
      <c r="E283" s="66" t="s">
        <v>224</v>
      </c>
      <c r="F283" s="66" t="s">
        <v>13</v>
      </c>
      <c r="G283" s="75" t="s">
        <v>524</v>
      </c>
      <c r="H283" s="67" t="s">
        <v>187</v>
      </c>
      <c r="I283" s="68"/>
      <c r="J283" s="69"/>
    </row>
    <row r="284" spans="1:10" ht="20.100000000000001" customHeight="1" x14ac:dyDescent="0.3">
      <c r="A284" s="147"/>
      <c r="B284" s="72" t="s">
        <v>541</v>
      </c>
      <c r="C284" s="70" t="s">
        <v>66</v>
      </c>
      <c r="D284" s="70" t="s">
        <v>180</v>
      </c>
      <c r="E284" s="70" t="s">
        <v>224</v>
      </c>
      <c r="F284" s="70" t="s">
        <v>13</v>
      </c>
      <c r="G284" s="15" t="s">
        <v>551</v>
      </c>
      <c r="H284" s="7">
        <v>93900</v>
      </c>
      <c r="I284" s="8"/>
      <c r="J284" s="9"/>
    </row>
    <row r="285" spans="1:10" ht="20.100000000000001" customHeight="1" x14ac:dyDescent="0.3">
      <c r="A285" s="147"/>
      <c r="B285" s="38" t="s">
        <v>542</v>
      </c>
      <c r="C285" s="10" t="s">
        <v>547</v>
      </c>
      <c r="D285" s="10" t="s">
        <v>485</v>
      </c>
      <c r="E285" s="10" t="s">
        <v>224</v>
      </c>
      <c r="F285" s="10" t="s">
        <v>13</v>
      </c>
      <c r="G285" s="15" t="s">
        <v>535</v>
      </c>
      <c r="H285" s="7">
        <v>100900</v>
      </c>
      <c r="I285" s="60"/>
      <c r="J285" s="25"/>
    </row>
    <row r="286" spans="1:10" ht="20.100000000000001" customHeight="1" x14ac:dyDescent="0.3">
      <c r="A286" s="147"/>
      <c r="B286" s="38" t="s">
        <v>543</v>
      </c>
      <c r="C286" s="10" t="s">
        <v>548</v>
      </c>
      <c r="D286" s="10" t="s">
        <v>486</v>
      </c>
      <c r="E286" s="10" t="s">
        <v>224</v>
      </c>
      <c r="F286" s="10" t="s">
        <v>13</v>
      </c>
      <c r="G286" s="15" t="s">
        <v>535</v>
      </c>
      <c r="H286" s="7">
        <v>92900</v>
      </c>
      <c r="I286" s="60"/>
      <c r="J286" s="25"/>
    </row>
    <row r="287" spans="1:10" ht="20.100000000000001" customHeight="1" x14ac:dyDescent="0.3">
      <c r="A287" s="149"/>
      <c r="B287" s="149"/>
      <c r="C287" s="149"/>
      <c r="D287" s="149"/>
      <c r="E287" s="149"/>
      <c r="F287" s="149"/>
      <c r="G287" s="149"/>
      <c r="H287" s="149"/>
      <c r="I287" s="149"/>
      <c r="J287" s="149"/>
    </row>
    <row r="288" spans="1:10" ht="60" customHeight="1" x14ac:dyDescent="0.3">
      <c r="A288" s="139" t="s">
        <v>1649</v>
      </c>
      <c r="B288" s="140"/>
      <c r="C288" s="140"/>
      <c r="D288" s="140"/>
      <c r="E288" s="140"/>
      <c r="F288" s="140"/>
      <c r="G288" s="140"/>
      <c r="H288" s="140"/>
      <c r="I288" s="140"/>
      <c r="J288" s="140"/>
    </row>
    <row r="289" spans="1:10" ht="30" customHeight="1" x14ac:dyDescent="0.3">
      <c r="A289" s="70"/>
      <c r="B289" s="38" t="s">
        <v>2</v>
      </c>
      <c r="C289" s="4" t="s">
        <v>42</v>
      </c>
      <c r="D289" s="4" t="s">
        <v>43</v>
      </c>
      <c r="E289" s="38" t="s">
        <v>9</v>
      </c>
      <c r="F289" s="38" t="s">
        <v>10</v>
      </c>
      <c r="G289" s="4" t="s">
        <v>11</v>
      </c>
      <c r="H289" s="4" t="s">
        <v>17</v>
      </c>
      <c r="I289" s="4"/>
      <c r="J289" s="4"/>
    </row>
    <row r="290" spans="1:10" ht="20.100000000000001" customHeight="1" x14ac:dyDescent="0.3">
      <c r="A290" s="147"/>
      <c r="B290" s="65" t="s">
        <v>552</v>
      </c>
      <c r="C290" s="66" t="s">
        <v>544</v>
      </c>
      <c r="D290" s="66" t="s">
        <v>471</v>
      </c>
      <c r="E290" s="66" t="s">
        <v>224</v>
      </c>
      <c r="F290" s="66" t="s">
        <v>13</v>
      </c>
      <c r="G290" s="75" t="s">
        <v>524</v>
      </c>
      <c r="H290" s="67" t="s">
        <v>187</v>
      </c>
      <c r="I290" s="68"/>
      <c r="J290" s="69"/>
    </row>
    <row r="291" spans="1:10" ht="20.100000000000001" customHeight="1" x14ac:dyDescent="0.3">
      <c r="A291" s="147"/>
      <c r="B291" s="65" t="s">
        <v>553</v>
      </c>
      <c r="C291" s="66" t="s">
        <v>545</v>
      </c>
      <c r="D291" s="66" t="s">
        <v>549</v>
      </c>
      <c r="E291" s="66" t="s">
        <v>224</v>
      </c>
      <c r="F291" s="66" t="s">
        <v>13</v>
      </c>
      <c r="G291" s="75" t="s">
        <v>551</v>
      </c>
      <c r="H291" s="67" t="s">
        <v>187</v>
      </c>
      <c r="I291" s="68"/>
      <c r="J291" s="69"/>
    </row>
    <row r="292" spans="1:10" ht="20.100000000000001" customHeight="1" x14ac:dyDescent="0.3">
      <c r="A292" s="147"/>
      <c r="B292" s="65" t="s">
        <v>554</v>
      </c>
      <c r="C292" s="66" t="s">
        <v>546</v>
      </c>
      <c r="D292" s="66" t="s">
        <v>550</v>
      </c>
      <c r="E292" s="66" t="s">
        <v>224</v>
      </c>
      <c r="F292" s="66" t="s">
        <v>13</v>
      </c>
      <c r="G292" s="75" t="s">
        <v>535</v>
      </c>
      <c r="H292" s="67" t="s">
        <v>187</v>
      </c>
      <c r="I292" s="68"/>
      <c r="J292" s="68"/>
    </row>
    <row r="293" spans="1:10" ht="20.100000000000001" customHeight="1" x14ac:dyDescent="0.3">
      <c r="A293" s="147"/>
      <c r="B293" s="65" t="s">
        <v>555</v>
      </c>
      <c r="C293" s="66" t="s">
        <v>544</v>
      </c>
      <c r="D293" s="66" t="s">
        <v>471</v>
      </c>
      <c r="E293" s="66" t="s">
        <v>224</v>
      </c>
      <c r="F293" s="66" t="s">
        <v>13</v>
      </c>
      <c r="G293" s="75" t="s">
        <v>524</v>
      </c>
      <c r="H293" s="67" t="s">
        <v>187</v>
      </c>
      <c r="I293" s="68"/>
      <c r="J293" s="68"/>
    </row>
    <row r="294" spans="1:10" ht="20.100000000000001" customHeight="1" x14ac:dyDescent="0.3">
      <c r="A294" s="147"/>
      <c r="B294" s="65" t="s">
        <v>556</v>
      </c>
      <c r="C294" s="66" t="s">
        <v>545</v>
      </c>
      <c r="D294" s="66" t="s">
        <v>549</v>
      </c>
      <c r="E294" s="66" t="s">
        <v>224</v>
      </c>
      <c r="F294" s="66" t="s">
        <v>13</v>
      </c>
      <c r="G294" s="75" t="s">
        <v>551</v>
      </c>
      <c r="H294" s="67" t="s">
        <v>187</v>
      </c>
      <c r="I294" s="68"/>
      <c r="J294" s="69"/>
    </row>
    <row r="295" spans="1:10" ht="20.100000000000001" customHeight="1" x14ac:dyDescent="0.3">
      <c r="A295" s="147"/>
      <c r="B295" s="65" t="s">
        <v>557</v>
      </c>
      <c r="C295" s="66" t="s">
        <v>546</v>
      </c>
      <c r="D295" s="66" t="s">
        <v>550</v>
      </c>
      <c r="E295" s="66" t="s">
        <v>224</v>
      </c>
      <c r="F295" s="66" t="s">
        <v>13</v>
      </c>
      <c r="G295" s="75" t="s">
        <v>535</v>
      </c>
      <c r="H295" s="67" t="s">
        <v>187</v>
      </c>
      <c r="I295" s="68"/>
      <c r="J295" s="69"/>
    </row>
    <row r="296" spans="1:10" ht="20.100000000000001" customHeight="1" x14ac:dyDescent="0.3">
      <c r="A296" s="149"/>
      <c r="B296" s="149"/>
      <c r="C296" s="149"/>
      <c r="D296" s="149"/>
      <c r="E296" s="149"/>
      <c r="F296" s="149"/>
      <c r="G296" s="149"/>
      <c r="H296" s="149"/>
      <c r="I296" s="149"/>
      <c r="J296" s="149"/>
    </row>
    <row r="297" spans="1:10" ht="60" customHeight="1" x14ac:dyDescent="0.3">
      <c r="A297" s="139" t="s">
        <v>1648</v>
      </c>
      <c r="B297" s="140"/>
      <c r="C297" s="140"/>
      <c r="D297" s="140"/>
      <c r="E297" s="140"/>
      <c r="F297" s="140"/>
      <c r="G297" s="140"/>
      <c r="H297" s="140"/>
      <c r="I297" s="140"/>
      <c r="J297" s="140"/>
    </row>
    <row r="298" spans="1:10" ht="30" customHeight="1" x14ac:dyDescent="0.3">
      <c r="A298" s="70"/>
      <c r="B298" s="38" t="s">
        <v>2</v>
      </c>
      <c r="C298" s="4" t="s">
        <v>42</v>
      </c>
      <c r="D298" s="4" t="s">
        <v>43</v>
      </c>
      <c r="E298" s="38" t="s">
        <v>9</v>
      </c>
      <c r="F298" s="38" t="s">
        <v>10</v>
      </c>
      <c r="G298" s="4" t="s">
        <v>11</v>
      </c>
      <c r="H298" s="4" t="s">
        <v>17</v>
      </c>
      <c r="I298" s="4"/>
      <c r="J298" s="4"/>
    </row>
    <row r="299" spans="1:10" ht="20.100000000000001" customHeight="1" x14ac:dyDescent="0.3">
      <c r="A299" s="147"/>
      <c r="B299" s="79" t="s">
        <v>558</v>
      </c>
      <c r="C299" s="66" t="s">
        <v>221</v>
      </c>
      <c r="D299" s="66" t="s">
        <v>51</v>
      </c>
      <c r="E299" s="66" t="s">
        <v>224</v>
      </c>
      <c r="F299" s="66" t="s">
        <v>13</v>
      </c>
      <c r="G299" s="75" t="s">
        <v>524</v>
      </c>
      <c r="H299" s="67" t="s">
        <v>187</v>
      </c>
      <c r="I299" s="68"/>
      <c r="J299" s="68"/>
    </row>
    <row r="300" spans="1:10" ht="20.100000000000001" customHeight="1" x14ac:dyDescent="0.3">
      <c r="A300" s="147"/>
      <c r="B300" s="79" t="s">
        <v>559</v>
      </c>
      <c r="C300" s="66" t="s">
        <v>547</v>
      </c>
      <c r="D300" s="66" t="s">
        <v>485</v>
      </c>
      <c r="E300" s="66" t="s">
        <v>224</v>
      </c>
      <c r="F300" s="66" t="s">
        <v>13</v>
      </c>
      <c r="G300" s="75" t="s">
        <v>535</v>
      </c>
      <c r="H300" s="67" t="s">
        <v>187</v>
      </c>
      <c r="I300" s="68"/>
      <c r="J300" s="68"/>
    </row>
    <row r="301" spans="1:10" ht="20.100000000000001" customHeight="1" x14ac:dyDescent="0.3">
      <c r="A301" s="147"/>
      <c r="B301" s="79" t="s">
        <v>985</v>
      </c>
      <c r="C301" s="66" t="s">
        <v>548</v>
      </c>
      <c r="D301" s="66" t="s">
        <v>486</v>
      </c>
      <c r="E301" s="66" t="s">
        <v>187</v>
      </c>
      <c r="F301" s="66" t="s">
        <v>13</v>
      </c>
      <c r="G301" s="75" t="s">
        <v>535</v>
      </c>
      <c r="H301" s="67" t="s">
        <v>187</v>
      </c>
      <c r="I301" s="68"/>
      <c r="J301" s="68"/>
    </row>
    <row r="302" spans="1:10" ht="20.100000000000001" customHeight="1" x14ac:dyDescent="0.3">
      <c r="A302" s="147"/>
      <c r="B302" s="79" t="s">
        <v>560</v>
      </c>
      <c r="C302" s="66" t="s">
        <v>221</v>
      </c>
      <c r="D302" s="66" t="s">
        <v>51</v>
      </c>
      <c r="E302" s="66" t="s">
        <v>224</v>
      </c>
      <c r="F302" s="66" t="s">
        <v>13</v>
      </c>
      <c r="G302" s="75" t="s">
        <v>524</v>
      </c>
      <c r="H302" s="67" t="s">
        <v>187</v>
      </c>
      <c r="I302" s="68"/>
      <c r="J302" s="68"/>
    </row>
    <row r="303" spans="1:10" ht="20.100000000000001" customHeight="1" x14ac:dyDescent="0.3">
      <c r="A303" s="147"/>
      <c r="B303" s="79" t="s">
        <v>561</v>
      </c>
      <c r="C303" s="66" t="s">
        <v>547</v>
      </c>
      <c r="D303" s="66" t="s">
        <v>485</v>
      </c>
      <c r="E303" s="66" t="s">
        <v>224</v>
      </c>
      <c r="F303" s="66" t="s">
        <v>13</v>
      </c>
      <c r="G303" s="75" t="s">
        <v>535</v>
      </c>
      <c r="H303" s="67" t="s">
        <v>187</v>
      </c>
      <c r="I303" s="68"/>
      <c r="J303" s="68"/>
    </row>
    <row r="304" spans="1:10" ht="20.100000000000001" customHeight="1" x14ac:dyDescent="0.3">
      <c r="A304" s="147"/>
      <c r="B304" s="79" t="s">
        <v>986</v>
      </c>
      <c r="C304" s="66" t="s">
        <v>548</v>
      </c>
      <c r="D304" s="66" t="s">
        <v>486</v>
      </c>
      <c r="E304" s="66" t="s">
        <v>187</v>
      </c>
      <c r="F304" s="66" t="s">
        <v>13</v>
      </c>
      <c r="G304" s="75" t="s">
        <v>535</v>
      </c>
      <c r="H304" s="67" t="s">
        <v>187</v>
      </c>
      <c r="I304" s="68"/>
      <c r="J304" s="68"/>
    </row>
    <row r="305" spans="1:15" ht="20.100000000000001" customHeight="1" x14ac:dyDescent="0.3">
      <c r="A305" s="149"/>
      <c r="B305" s="149"/>
      <c r="C305" s="149"/>
      <c r="D305" s="149"/>
      <c r="E305" s="149"/>
      <c r="F305" s="149"/>
      <c r="G305" s="149"/>
      <c r="H305" s="149"/>
      <c r="I305" s="149"/>
      <c r="J305" s="149"/>
    </row>
    <row r="306" spans="1:15" ht="39.9" customHeight="1" x14ac:dyDescent="0.3">
      <c r="A306" s="139" t="s">
        <v>1692</v>
      </c>
      <c r="B306" s="140"/>
      <c r="C306" s="140"/>
      <c r="D306" s="140"/>
      <c r="E306" s="140"/>
      <c r="F306" s="140"/>
      <c r="G306" s="140"/>
      <c r="H306" s="140"/>
      <c r="I306" s="140"/>
      <c r="J306" s="140"/>
    </row>
    <row r="307" spans="1:15" ht="30" customHeight="1" x14ac:dyDescent="0.3">
      <c r="A307" s="70"/>
      <c r="B307" s="38" t="s">
        <v>2</v>
      </c>
      <c r="C307" s="4" t="s">
        <v>42</v>
      </c>
      <c r="D307" s="4" t="s">
        <v>43</v>
      </c>
      <c r="E307" s="38" t="s">
        <v>9</v>
      </c>
      <c r="F307" s="38" t="s">
        <v>10</v>
      </c>
      <c r="G307" s="4" t="s">
        <v>11</v>
      </c>
      <c r="H307" s="4" t="s">
        <v>17</v>
      </c>
      <c r="I307" s="4"/>
      <c r="J307" s="4"/>
    </row>
    <row r="308" spans="1:15" ht="24.9" customHeight="1" x14ac:dyDescent="0.3">
      <c r="A308" s="147"/>
      <c r="B308" s="82" t="s">
        <v>562</v>
      </c>
      <c r="C308" s="70" t="s">
        <v>177</v>
      </c>
      <c r="D308" s="70" t="s">
        <v>958</v>
      </c>
      <c r="E308" s="70" t="s">
        <v>224</v>
      </c>
      <c r="F308" s="70" t="s">
        <v>13</v>
      </c>
      <c r="G308" s="15" t="s">
        <v>567</v>
      </c>
      <c r="H308" s="7">
        <v>16900</v>
      </c>
      <c r="I308" s="8"/>
      <c r="J308" s="9"/>
      <c r="L308" s="12" t="s">
        <v>1795</v>
      </c>
    </row>
    <row r="309" spans="1:15" ht="24.9" customHeight="1" x14ac:dyDescent="0.3">
      <c r="A309" s="147"/>
      <c r="B309" s="82" t="s">
        <v>563</v>
      </c>
      <c r="C309" s="70" t="s">
        <v>66</v>
      </c>
      <c r="D309" s="70" t="s">
        <v>959</v>
      </c>
      <c r="E309" s="70" t="s">
        <v>224</v>
      </c>
      <c r="F309" s="70" t="s">
        <v>13</v>
      </c>
      <c r="G309" s="15" t="s">
        <v>567</v>
      </c>
      <c r="H309" s="7">
        <v>15900</v>
      </c>
      <c r="I309" s="8"/>
      <c r="J309" s="9"/>
      <c r="L309" s="12" t="s">
        <v>1795</v>
      </c>
    </row>
    <row r="310" spans="1:15" ht="24.9" customHeight="1" x14ac:dyDescent="0.3">
      <c r="A310" s="147"/>
      <c r="B310" s="82" t="s">
        <v>564</v>
      </c>
      <c r="C310" s="70" t="s">
        <v>66</v>
      </c>
      <c r="D310" s="70" t="s">
        <v>959</v>
      </c>
      <c r="E310" s="70" t="s">
        <v>224</v>
      </c>
      <c r="F310" s="70" t="s">
        <v>13</v>
      </c>
      <c r="G310" s="15" t="s">
        <v>568</v>
      </c>
      <c r="H310" s="7">
        <v>20900</v>
      </c>
      <c r="I310" s="8"/>
      <c r="J310" s="9"/>
      <c r="L310" s="12" t="s">
        <v>1801</v>
      </c>
    </row>
    <row r="311" spans="1:15" ht="24.9" customHeight="1" x14ac:dyDescent="0.3">
      <c r="A311" s="147"/>
      <c r="B311" s="82" t="s">
        <v>565</v>
      </c>
      <c r="C311" s="70" t="s">
        <v>534</v>
      </c>
      <c r="D311" s="70" t="s">
        <v>960</v>
      </c>
      <c r="E311" s="70" t="s">
        <v>224</v>
      </c>
      <c r="F311" s="70" t="s">
        <v>13</v>
      </c>
      <c r="G311" s="15" t="s">
        <v>568</v>
      </c>
      <c r="H311" s="7">
        <v>20900</v>
      </c>
      <c r="I311" s="8"/>
      <c r="J311" s="9"/>
      <c r="L311" s="12" t="s">
        <v>1801</v>
      </c>
    </row>
    <row r="312" spans="1:15" ht="24.9" customHeight="1" x14ac:dyDescent="0.3">
      <c r="A312" s="147"/>
      <c r="B312" s="65" t="s">
        <v>566</v>
      </c>
      <c r="C312" s="66" t="s">
        <v>570</v>
      </c>
      <c r="D312" s="66" t="s">
        <v>1691</v>
      </c>
      <c r="E312" s="66" t="s">
        <v>224</v>
      </c>
      <c r="F312" s="66" t="s">
        <v>13</v>
      </c>
      <c r="G312" s="75" t="s">
        <v>569</v>
      </c>
      <c r="H312" s="67">
        <v>41900</v>
      </c>
      <c r="I312" s="68"/>
      <c r="J312" s="69"/>
    </row>
    <row r="313" spans="1:15" ht="20.100000000000001" customHeight="1" x14ac:dyDescent="0.3">
      <c r="A313" s="149"/>
      <c r="B313" s="149"/>
      <c r="C313" s="149"/>
      <c r="D313" s="149"/>
      <c r="E313" s="149"/>
      <c r="F313" s="149"/>
      <c r="G313" s="149"/>
      <c r="H313" s="149"/>
      <c r="I313" s="149"/>
      <c r="J313" s="149"/>
    </row>
    <row r="314" spans="1:15" ht="40.200000000000003" customHeight="1" x14ac:dyDescent="0.3">
      <c r="A314" s="139" t="s">
        <v>1989</v>
      </c>
      <c r="B314" s="140"/>
      <c r="C314" s="140"/>
      <c r="D314" s="140"/>
      <c r="E314" s="140"/>
      <c r="F314" s="140"/>
      <c r="G314" s="140"/>
      <c r="H314" s="140"/>
      <c r="I314" s="140"/>
      <c r="J314" s="140"/>
    </row>
    <row r="315" spans="1:15" ht="41.4" x14ac:dyDescent="0.3">
      <c r="A315" s="133"/>
      <c r="B315" s="38" t="s">
        <v>2</v>
      </c>
      <c r="C315" s="4" t="s">
        <v>1965</v>
      </c>
      <c r="D315" s="4" t="s">
        <v>1976</v>
      </c>
      <c r="E315" s="4" t="s">
        <v>1975</v>
      </c>
      <c r="F315" s="4" t="s">
        <v>1966</v>
      </c>
      <c r="G315" s="4" t="s">
        <v>1967</v>
      </c>
      <c r="H315" s="4" t="s">
        <v>17</v>
      </c>
      <c r="I315" s="4"/>
      <c r="J315" s="4"/>
    </row>
    <row r="316" spans="1:15" ht="30" customHeight="1" x14ac:dyDescent="0.3">
      <c r="A316" s="152"/>
      <c r="B316" s="100" t="s">
        <v>1960</v>
      </c>
      <c r="C316" s="33" t="s">
        <v>1968</v>
      </c>
      <c r="D316" s="33" t="s">
        <v>1972</v>
      </c>
      <c r="E316" s="133" t="s">
        <v>1977</v>
      </c>
      <c r="F316" s="133" t="s">
        <v>1981</v>
      </c>
      <c r="G316" s="15" t="s">
        <v>1985</v>
      </c>
      <c r="H316" s="7">
        <f>N316+O316</f>
        <v>39600</v>
      </c>
      <c r="I316" s="8"/>
      <c r="J316" s="9"/>
      <c r="N316" s="2">
        <v>36100</v>
      </c>
      <c r="O316" s="2">
        <v>3500</v>
      </c>
    </row>
    <row r="317" spans="1:15" ht="30" customHeight="1" x14ac:dyDescent="0.3">
      <c r="A317" s="153"/>
      <c r="B317" s="100" t="s">
        <v>1961</v>
      </c>
      <c r="C317" s="133" t="s">
        <v>1969</v>
      </c>
      <c r="D317" s="33" t="s">
        <v>1972</v>
      </c>
      <c r="E317" s="133" t="s">
        <v>1977</v>
      </c>
      <c r="F317" s="133" t="s">
        <v>1981</v>
      </c>
      <c r="G317" s="15" t="s">
        <v>1985</v>
      </c>
      <c r="H317" s="7">
        <f>N317+O317</f>
        <v>39600</v>
      </c>
      <c r="I317" s="8"/>
      <c r="J317" s="9"/>
      <c r="N317" s="2">
        <v>36100</v>
      </c>
      <c r="O317" s="2">
        <v>3500</v>
      </c>
    </row>
    <row r="318" spans="1:15" ht="30" customHeight="1" x14ac:dyDescent="0.3">
      <c r="A318" s="153"/>
      <c r="B318" s="100" t="s">
        <v>1962</v>
      </c>
      <c r="C318" s="133" t="s">
        <v>1970</v>
      </c>
      <c r="D318" s="133" t="s">
        <v>1973</v>
      </c>
      <c r="E318" s="133" t="s">
        <v>1978</v>
      </c>
      <c r="F318" s="133" t="s">
        <v>1982</v>
      </c>
      <c r="G318" s="15" t="s">
        <v>1986</v>
      </c>
      <c r="H318" s="7">
        <f>N318+O318</f>
        <v>39600</v>
      </c>
      <c r="I318" s="8"/>
      <c r="J318" s="9"/>
      <c r="N318" s="2">
        <v>36100</v>
      </c>
      <c r="O318" s="2">
        <v>3500</v>
      </c>
    </row>
    <row r="319" spans="1:15" ht="30" customHeight="1" x14ac:dyDescent="0.3">
      <c r="A319" s="153"/>
      <c r="B319" s="100" t="s">
        <v>1963</v>
      </c>
      <c r="C319" s="133" t="s">
        <v>1971</v>
      </c>
      <c r="D319" s="133" t="s">
        <v>1973</v>
      </c>
      <c r="E319" s="133" t="s">
        <v>1979</v>
      </c>
      <c r="F319" s="133" t="s">
        <v>1983</v>
      </c>
      <c r="G319" s="15" t="s">
        <v>1987</v>
      </c>
      <c r="H319" s="7">
        <f>N319+O319</f>
        <v>39600</v>
      </c>
      <c r="I319" s="8"/>
      <c r="J319" s="9"/>
      <c r="N319" s="2">
        <v>36100</v>
      </c>
      <c r="O319" s="2">
        <v>3500</v>
      </c>
    </row>
    <row r="320" spans="1:15" ht="30" customHeight="1" x14ac:dyDescent="0.3">
      <c r="A320" s="154"/>
      <c r="B320" s="100" t="s">
        <v>1964</v>
      </c>
      <c r="C320" s="133" t="s">
        <v>1990</v>
      </c>
      <c r="D320" s="133" t="s">
        <v>1974</v>
      </c>
      <c r="E320" s="33" t="s">
        <v>1980</v>
      </c>
      <c r="F320" s="133" t="s">
        <v>1984</v>
      </c>
      <c r="G320" s="15" t="s">
        <v>1988</v>
      </c>
      <c r="H320" s="7">
        <f>N320+O320</f>
        <v>39600</v>
      </c>
      <c r="I320" s="8"/>
      <c r="J320" s="9"/>
      <c r="N320" s="2">
        <v>36100</v>
      </c>
      <c r="O320" s="2">
        <v>3500</v>
      </c>
    </row>
    <row r="321" spans="1:10" ht="20.100000000000001" customHeight="1" x14ac:dyDescent="0.3">
      <c r="A321" s="149"/>
      <c r="B321" s="149"/>
      <c r="C321" s="149"/>
      <c r="D321" s="149"/>
      <c r="E321" s="149"/>
      <c r="F321" s="149"/>
      <c r="G321" s="149"/>
      <c r="H321" s="149"/>
      <c r="I321" s="149"/>
      <c r="J321" s="149"/>
    </row>
    <row r="8098" spans="3:3" x14ac:dyDescent="0.3">
      <c r="C8098" s="77" t="s">
        <v>1704</v>
      </c>
    </row>
    <row r="9661" spans="7:7" x14ac:dyDescent="0.3">
      <c r="G9661" s="1">
        <v>7000</v>
      </c>
    </row>
  </sheetData>
  <mergeCells count="92">
    <mergeCell ref="A115:A129"/>
    <mergeCell ref="A130:J130"/>
    <mergeCell ref="A24:J24"/>
    <mergeCell ref="A1:J1"/>
    <mergeCell ref="A3:A6"/>
    <mergeCell ref="A7:J7"/>
    <mergeCell ref="A8:J8"/>
    <mergeCell ref="A10:A14"/>
    <mergeCell ref="A15:J15"/>
    <mergeCell ref="A16:J16"/>
    <mergeCell ref="A18:A23"/>
    <mergeCell ref="A48:J48"/>
    <mergeCell ref="A25:J25"/>
    <mergeCell ref="A27:A30"/>
    <mergeCell ref="A31:J31"/>
    <mergeCell ref="A32:J32"/>
    <mergeCell ref="A34:A38"/>
    <mergeCell ref="A39:J39"/>
    <mergeCell ref="A40:J40"/>
    <mergeCell ref="A42:A47"/>
    <mergeCell ref="A87:J87"/>
    <mergeCell ref="A49:J49"/>
    <mergeCell ref="A56:J56"/>
    <mergeCell ref="A57:J57"/>
    <mergeCell ref="A59:A66"/>
    <mergeCell ref="A67:J67"/>
    <mergeCell ref="A68:J68"/>
    <mergeCell ref="A70:A75"/>
    <mergeCell ref="A76:J76"/>
    <mergeCell ref="A77:J77"/>
    <mergeCell ref="A79:A86"/>
    <mergeCell ref="A51:A55"/>
    <mergeCell ref="A176:J176"/>
    <mergeCell ref="A88:J88"/>
    <mergeCell ref="A90:A95"/>
    <mergeCell ref="A96:J96"/>
    <mergeCell ref="A131:J131"/>
    <mergeCell ref="A133:A142"/>
    <mergeCell ref="A143:J143"/>
    <mergeCell ref="A144:J144"/>
    <mergeCell ref="A146:A158"/>
    <mergeCell ref="A159:J159"/>
    <mergeCell ref="A160:J160"/>
    <mergeCell ref="A162:A175"/>
    <mergeCell ref="A97:J97"/>
    <mergeCell ref="A99:A111"/>
    <mergeCell ref="A112:J112"/>
    <mergeCell ref="A113:J113"/>
    <mergeCell ref="A229:J229"/>
    <mergeCell ref="A177:J177"/>
    <mergeCell ref="A179:A194"/>
    <mergeCell ref="A195:J195"/>
    <mergeCell ref="A196:J196"/>
    <mergeCell ref="A198:A209"/>
    <mergeCell ref="A210:J210"/>
    <mergeCell ref="A211:J211"/>
    <mergeCell ref="A213:A219"/>
    <mergeCell ref="A220:J220"/>
    <mergeCell ref="A221:J221"/>
    <mergeCell ref="A223:A228"/>
    <mergeCell ref="A249:J249"/>
    <mergeCell ref="A230:J230"/>
    <mergeCell ref="A233:J233"/>
    <mergeCell ref="A234:J234"/>
    <mergeCell ref="A236:A239"/>
    <mergeCell ref="A240:J240"/>
    <mergeCell ref="A241:J241"/>
    <mergeCell ref="A243:A247"/>
    <mergeCell ref="A248:J248"/>
    <mergeCell ref="A288:J288"/>
    <mergeCell ref="A251:A259"/>
    <mergeCell ref="A260:J260"/>
    <mergeCell ref="A261:J261"/>
    <mergeCell ref="A263:A265"/>
    <mergeCell ref="A266:J266"/>
    <mergeCell ref="A267:J267"/>
    <mergeCell ref="A269:A276"/>
    <mergeCell ref="A277:J277"/>
    <mergeCell ref="A278:J278"/>
    <mergeCell ref="A280:A286"/>
    <mergeCell ref="A287:J287"/>
    <mergeCell ref="A290:A295"/>
    <mergeCell ref="A296:J296"/>
    <mergeCell ref="A297:J297"/>
    <mergeCell ref="A299:A304"/>
    <mergeCell ref="A305:J305"/>
    <mergeCell ref="A313:J313"/>
    <mergeCell ref="A314:J314"/>
    <mergeCell ref="A316:A320"/>
    <mergeCell ref="A321:J321"/>
    <mergeCell ref="A306:J306"/>
    <mergeCell ref="A308:A312"/>
  </mergeCells>
  <hyperlinks>
    <hyperlink ref="B6" r:id="rId1"/>
    <hyperlink ref="B5" r:id="rId2"/>
    <hyperlink ref="B4" r:id="rId3"/>
    <hyperlink ref="B3" r:id="rId4"/>
    <hyperlink ref="B59" r:id="rId5"/>
    <hyperlink ref="B60" r:id="rId6"/>
    <hyperlink ref="B61" r:id="rId7"/>
    <hyperlink ref="B63" r:id="rId8"/>
    <hyperlink ref="B62" r:id="rId9"/>
    <hyperlink ref="B66" r:id="rId10"/>
    <hyperlink ref="B64" r:id="rId11"/>
    <hyperlink ref="B65" r:id="rId12"/>
    <hyperlink ref="B80" r:id="rId13"/>
    <hyperlink ref="B79" r:id="rId14"/>
    <hyperlink ref="B81" r:id="rId15"/>
    <hyperlink ref="B83" r:id="rId16"/>
    <hyperlink ref="B84" r:id="rId17"/>
    <hyperlink ref="B133" r:id="rId18"/>
    <hyperlink ref="B134" r:id="rId19"/>
    <hyperlink ref="B135" r:id="rId20"/>
    <hyperlink ref="B136" r:id="rId21"/>
    <hyperlink ref="B137" r:id="rId22"/>
    <hyperlink ref="B138" r:id="rId23"/>
    <hyperlink ref="B139" r:id="rId24"/>
    <hyperlink ref="B141" r:id="rId25"/>
    <hyperlink ref="B140" r:id="rId26"/>
    <hyperlink ref="B142" r:id="rId27"/>
    <hyperlink ref="B146" r:id="rId28"/>
    <hyperlink ref="B147" r:id="rId29"/>
    <hyperlink ref="B148" r:id="rId30"/>
    <hyperlink ref="B149" r:id="rId31"/>
    <hyperlink ref="B150" r:id="rId32"/>
    <hyperlink ref="B151" r:id="rId33"/>
    <hyperlink ref="B152" r:id="rId34"/>
    <hyperlink ref="B153" r:id="rId35"/>
    <hyperlink ref="B154" r:id="rId36"/>
    <hyperlink ref="B155" r:id="rId37"/>
    <hyperlink ref="B157" r:id="rId38"/>
    <hyperlink ref="B156" r:id="rId39"/>
    <hyperlink ref="B158" r:id="rId40"/>
    <hyperlink ref="B308" r:id="rId41"/>
    <hyperlink ref="B309" r:id="rId42"/>
    <hyperlink ref="B310" r:id="rId43"/>
    <hyperlink ref="B311" r:id="rId44"/>
    <hyperlink ref="B312" r:id="rId45"/>
    <hyperlink ref="B213" r:id="rId46"/>
    <hyperlink ref="B214" r:id="rId47"/>
    <hyperlink ref="B215" r:id="rId48"/>
    <hyperlink ref="B217" r:id="rId49"/>
    <hyperlink ref="B216" r:id="rId50"/>
    <hyperlink ref="B218" r:id="rId51"/>
    <hyperlink ref="B219" r:id="rId52"/>
    <hyperlink ref="B244" r:id="rId53"/>
    <hyperlink ref="B245" r:id="rId54"/>
    <hyperlink ref="B246" r:id="rId55"/>
    <hyperlink ref="B247" r:id="rId56"/>
    <hyperlink ref="B236" r:id="rId57"/>
    <hyperlink ref="B237" r:id="rId58"/>
    <hyperlink ref="B238" r:id="rId59"/>
    <hyperlink ref="B239" r:id="rId60"/>
    <hyperlink ref="B52" r:id="rId61"/>
    <hyperlink ref="B53" r:id="rId62"/>
    <hyperlink ref="B51" r:id="rId63"/>
    <hyperlink ref="B54" r:id="rId64"/>
    <hyperlink ref="B70" r:id="rId65"/>
    <hyperlink ref="B71" r:id="rId66"/>
    <hyperlink ref="B72" r:id="rId67"/>
    <hyperlink ref="B73" r:id="rId68"/>
    <hyperlink ref="B74" r:id="rId69"/>
    <hyperlink ref="B75" r:id="rId70"/>
    <hyperlink ref="B90" r:id="rId71"/>
    <hyperlink ref="B91" r:id="rId72"/>
    <hyperlink ref="B92" r:id="rId73"/>
    <hyperlink ref="B93" r:id="rId74"/>
    <hyperlink ref="B94" r:id="rId75"/>
    <hyperlink ref="B95" r:id="rId76"/>
    <hyperlink ref="B198" r:id="rId77"/>
    <hyperlink ref="B199" r:id="rId78"/>
    <hyperlink ref="B200" r:id="rId79"/>
    <hyperlink ref="B201" r:id="rId80"/>
    <hyperlink ref="B202" r:id="rId81"/>
    <hyperlink ref="B203" r:id="rId82"/>
    <hyperlink ref="B205" r:id="rId83"/>
    <hyperlink ref="B206" r:id="rId84"/>
    <hyperlink ref="B207" r:id="rId85"/>
    <hyperlink ref="B209" r:id="rId86"/>
    <hyperlink ref="B224" r:id="rId87"/>
    <hyperlink ref="B223" r:id="rId88"/>
    <hyperlink ref="B225" r:id="rId89"/>
    <hyperlink ref="B226" r:id="rId90"/>
    <hyperlink ref="B227" r:id="rId91"/>
    <hyperlink ref="B228" r:id="rId92"/>
    <hyperlink ref="B232" r:id="rId93"/>
    <hyperlink ref="B263" r:id="rId94"/>
    <hyperlink ref="B264" r:id="rId95"/>
    <hyperlink ref="B265" r:id="rId96"/>
    <hyperlink ref="B269" r:id="rId97"/>
    <hyperlink ref="B270" r:id="rId98"/>
    <hyperlink ref="B271" r:id="rId99"/>
    <hyperlink ref="B272" r:id="rId100"/>
    <hyperlink ref="B273" r:id="rId101"/>
    <hyperlink ref="B274" r:id="rId102"/>
    <hyperlink ref="B275" r:id="rId103"/>
    <hyperlink ref="B276" r:id="rId104"/>
    <hyperlink ref="B280" r:id="rId105"/>
    <hyperlink ref="B281" r:id="rId106"/>
    <hyperlink ref="B282" r:id="rId107"/>
    <hyperlink ref="B283" r:id="rId108"/>
    <hyperlink ref="B284" r:id="rId109"/>
    <hyperlink ref="B290" r:id="rId110"/>
    <hyperlink ref="B291" r:id="rId111"/>
    <hyperlink ref="B292" r:id="rId112"/>
    <hyperlink ref="B293" r:id="rId113"/>
    <hyperlink ref="B294" r:id="rId114"/>
    <hyperlink ref="B295" r:id="rId115"/>
    <hyperlink ref="B10" r:id="rId116"/>
    <hyperlink ref="B11" r:id="rId117"/>
    <hyperlink ref="B12" r:id="rId118"/>
    <hyperlink ref="B13" r:id="rId119"/>
    <hyperlink ref="B14" r:id="rId120"/>
    <hyperlink ref="B18" r:id="rId121" display="BM-20"/>
    <hyperlink ref="B19" r:id="rId122" display="BM-22"/>
    <hyperlink ref="B20" r:id="rId123" display="BM-252"/>
    <hyperlink ref="B21" r:id="rId124" display="BM-200"/>
    <hyperlink ref="B22" r:id="rId125" display="BM-300"/>
    <hyperlink ref="B23" r:id="rId126" display="BM-500"/>
    <hyperlink ref="B30" r:id="rId127"/>
    <hyperlink ref="B27" r:id="rId128"/>
    <hyperlink ref="B28" r:id="rId129"/>
    <hyperlink ref="B29" r:id="rId130"/>
    <hyperlink ref="B37" r:id="rId131"/>
    <hyperlink ref="B38" r:id="rId132"/>
    <hyperlink ref="B34" r:id="rId133"/>
    <hyperlink ref="B35" r:id="rId134"/>
    <hyperlink ref="B36" r:id="rId135"/>
    <hyperlink ref="B42" r:id="rId136"/>
    <hyperlink ref="B43" r:id="rId137"/>
    <hyperlink ref="B44" r:id="rId138"/>
    <hyperlink ref="B45" r:id="rId139"/>
    <hyperlink ref="B46" r:id="rId140"/>
    <hyperlink ref="B162" r:id="rId141"/>
    <hyperlink ref="B163" r:id="rId142"/>
    <hyperlink ref="B166" r:id="rId143"/>
    <hyperlink ref="B167" r:id="rId144"/>
    <hyperlink ref="B164" r:id="rId145"/>
    <hyperlink ref="B165" r:id="rId146"/>
    <hyperlink ref="B168" r:id="rId147"/>
    <hyperlink ref="B169" r:id="rId148"/>
    <hyperlink ref="B170" r:id="rId149" display="GP-60KS "/>
    <hyperlink ref="B171" r:id="rId150"/>
    <hyperlink ref="B172" r:id="rId151"/>
    <hyperlink ref="B173" r:id="rId152"/>
    <hyperlink ref="B174" r:id="rId153"/>
    <hyperlink ref="B175" r:id="rId154"/>
    <hyperlink ref="B179" r:id="rId155"/>
    <hyperlink ref="B180" r:id="rId156"/>
    <hyperlink ref="B181" r:id="rId157"/>
    <hyperlink ref="B182" r:id="rId158"/>
    <hyperlink ref="B184" r:id="rId159"/>
    <hyperlink ref="B183" r:id="rId160"/>
    <hyperlink ref="B185" r:id="rId161"/>
    <hyperlink ref="B186" r:id="rId162"/>
    <hyperlink ref="B187" r:id="rId163"/>
    <hyperlink ref="B188" r:id="rId164"/>
    <hyperlink ref="B190" r:id="rId165"/>
    <hyperlink ref="B189" r:id="rId166"/>
    <hyperlink ref="B191" r:id="rId167"/>
    <hyperlink ref="B85" r:id="rId168"/>
    <hyperlink ref="B82" r:id="rId169"/>
    <hyperlink ref="B86" r:id="rId170"/>
    <hyperlink ref="B115" r:id="rId171"/>
    <hyperlink ref="B116" r:id="rId172"/>
    <hyperlink ref="B117" r:id="rId173"/>
    <hyperlink ref="B118" r:id="rId174"/>
    <hyperlink ref="B119" r:id="rId175"/>
    <hyperlink ref="B120" r:id="rId176"/>
    <hyperlink ref="B121" r:id="rId177"/>
    <hyperlink ref="B122" r:id="rId178"/>
    <hyperlink ref="B123" r:id="rId179"/>
    <hyperlink ref="B124" r:id="rId180"/>
    <hyperlink ref="B125" r:id="rId181"/>
    <hyperlink ref="B126" r:id="rId182"/>
    <hyperlink ref="B127" r:id="rId183"/>
    <hyperlink ref="B128" r:id="rId184"/>
    <hyperlink ref="B129" r:id="rId185"/>
    <hyperlink ref="B47" r:id="rId186"/>
    <hyperlink ref="B204" r:id="rId187"/>
    <hyperlink ref="B208" r:id="rId188"/>
    <hyperlink ref="B243" r:id="rId189"/>
    <hyperlink ref="B317" r:id="rId190"/>
    <hyperlink ref="B316" r:id="rId191"/>
    <hyperlink ref="B318" r:id="rId192"/>
    <hyperlink ref="B319" r:id="rId193"/>
    <hyperlink ref="B320" r:id="rId194"/>
    <hyperlink ref="B111" r:id="rId195"/>
    <hyperlink ref="B110" r:id="rId196"/>
    <hyperlink ref="B109" r:id="rId197"/>
    <hyperlink ref="B108" r:id="rId198"/>
    <hyperlink ref="B107" r:id="rId199"/>
    <hyperlink ref="B106" r:id="rId200"/>
    <hyperlink ref="B105" r:id="rId201"/>
    <hyperlink ref="B104" r:id="rId202"/>
    <hyperlink ref="B103" r:id="rId203"/>
    <hyperlink ref="B102" r:id="rId204"/>
    <hyperlink ref="B101" r:id="rId205"/>
    <hyperlink ref="B100" r:id="rId206"/>
    <hyperlink ref="B99" r:id="rId207"/>
  </hyperlinks>
  <pageMargins left="0.7" right="0.7" top="0.75" bottom="0.75" header="0.3" footer="0.3"/>
  <pageSetup paperSize="9" orientation="portrait" r:id="rId208"/>
  <drawing r:id="rId209"/>
  <legacyDrawing r:id="rId2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61"/>
  <sheetViews>
    <sheetView topLeftCell="A306" zoomScale="90" zoomScaleNormal="90" workbookViewId="0">
      <selection activeCell="I304" sqref="I304:J305"/>
    </sheetView>
  </sheetViews>
  <sheetFormatPr defaultColWidth="9.109375" defaultRowHeight="13.8" x14ac:dyDescent="0.3"/>
  <cols>
    <col min="1" max="1" width="23.33203125" style="1" customWidth="1"/>
    <col min="2" max="2" width="20.554687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5.6640625" style="1" hidden="1" customWidth="1"/>
    <col min="13" max="13" width="0" style="12" hidden="1" customWidth="1"/>
    <col min="14" max="16384" width="9.109375" style="1"/>
  </cols>
  <sheetData>
    <row r="1" spans="1:13" ht="39.9" customHeight="1" x14ac:dyDescent="0.3">
      <c r="A1" s="139" t="s">
        <v>1428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3" ht="30" customHeight="1" x14ac:dyDescent="0.3">
      <c r="A2" s="5"/>
      <c r="B2" s="3" t="s">
        <v>2</v>
      </c>
      <c r="C2" s="4" t="s">
        <v>42</v>
      </c>
      <c r="D2" s="4" t="s">
        <v>43</v>
      </c>
      <c r="E2" s="3" t="s">
        <v>9</v>
      </c>
      <c r="F2" s="3" t="s">
        <v>10</v>
      </c>
      <c r="G2" s="4" t="s">
        <v>11</v>
      </c>
      <c r="H2" s="4" t="s">
        <v>17</v>
      </c>
      <c r="I2" s="4" t="s">
        <v>12</v>
      </c>
      <c r="J2" s="4" t="s">
        <v>18</v>
      </c>
    </row>
    <row r="3" spans="1:13" s="89" customFormat="1" ht="24.9" customHeight="1" x14ac:dyDescent="0.3">
      <c r="A3" s="138"/>
      <c r="B3" s="32" t="s">
        <v>298</v>
      </c>
      <c r="C3" s="88" t="s">
        <v>190</v>
      </c>
      <c r="D3" s="88" t="s">
        <v>184</v>
      </c>
      <c r="E3" s="88" t="s">
        <v>27</v>
      </c>
      <c r="F3" s="88" t="s">
        <v>13</v>
      </c>
      <c r="G3" s="15" t="s">
        <v>194</v>
      </c>
      <c r="H3" s="93">
        <v>20700</v>
      </c>
      <c r="I3" s="87"/>
      <c r="J3" s="86"/>
      <c r="L3" s="12" t="s">
        <v>1711</v>
      </c>
      <c r="M3" s="115">
        <v>2</v>
      </c>
    </row>
    <row r="4" spans="1:13" s="89" customFormat="1" ht="24.9" customHeight="1" x14ac:dyDescent="0.3">
      <c r="A4" s="138"/>
      <c r="B4" s="32" t="s">
        <v>299</v>
      </c>
      <c r="C4" s="88" t="s">
        <v>191</v>
      </c>
      <c r="D4" s="88" t="s">
        <v>49</v>
      </c>
      <c r="E4" s="88" t="s">
        <v>27</v>
      </c>
      <c r="F4" s="88" t="s">
        <v>13</v>
      </c>
      <c r="G4" s="15" t="s">
        <v>194</v>
      </c>
      <c r="H4" s="93">
        <v>20700</v>
      </c>
      <c r="I4" s="87"/>
      <c r="J4" s="86"/>
      <c r="L4" s="12" t="s">
        <v>1711</v>
      </c>
      <c r="M4" s="115">
        <v>2</v>
      </c>
    </row>
    <row r="5" spans="1:13" s="89" customFormat="1" ht="24.9" customHeight="1" x14ac:dyDescent="0.3">
      <c r="A5" s="138"/>
      <c r="B5" s="32" t="s">
        <v>300</v>
      </c>
      <c r="C5" s="88" t="s">
        <v>179</v>
      </c>
      <c r="D5" s="88" t="s">
        <v>185</v>
      </c>
      <c r="E5" s="88" t="s">
        <v>27</v>
      </c>
      <c r="F5" s="88" t="s">
        <v>13</v>
      </c>
      <c r="G5" s="15" t="s">
        <v>307</v>
      </c>
      <c r="H5" s="93">
        <v>20700</v>
      </c>
      <c r="I5" s="87"/>
      <c r="J5" s="86"/>
      <c r="L5" s="12" t="s">
        <v>1711</v>
      </c>
      <c r="M5" s="115">
        <v>2</v>
      </c>
    </row>
    <row r="6" spans="1:13" s="89" customFormat="1" ht="24.9" customHeight="1" x14ac:dyDescent="0.3">
      <c r="A6" s="138"/>
      <c r="B6" s="32" t="s">
        <v>301</v>
      </c>
      <c r="C6" s="88" t="s">
        <v>192</v>
      </c>
      <c r="D6" s="88" t="s">
        <v>186</v>
      </c>
      <c r="E6" s="88" t="s">
        <v>27</v>
      </c>
      <c r="F6" s="88" t="s">
        <v>13</v>
      </c>
      <c r="G6" s="15" t="s">
        <v>307</v>
      </c>
      <c r="H6" s="93">
        <v>20700</v>
      </c>
      <c r="I6" s="87"/>
      <c r="J6" s="86"/>
      <c r="L6" s="12" t="s">
        <v>1711</v>
      </c>
      <c r="M6" s="115">
        <v>2</v>
      </c>
    </row>
    <row r="7" spans="1:13" s="89" customFormat="1" ht="24.9" customHeight="1" x14ac:dyDescent="0.3">
      <c r="A7" s="138"/>
      <c r="B7" s="32" t="s">
        <v>302</v>
      </c>
      <c r="C7" s="88" t="s">
        <v>189</v>
      </c>
      <c r="D7" s="88" t="s">
        <v>184</v>
      </c>
      <c r="E7" s="88" t="s">
        <v>27</v>
      </c>
      <c r="F7" s="88" t="s">
        <v>13</v>
      </c>
      <c r="G7" s="15" t="s">
        <v>194</v>
      </c>
      <c r="H7" s="93">
        <v>18500</v>
      </c>
      <c r="I7" s="87"/>
      <c r="J7" s="86"/>
      <c r="L7" s="12" t="s">
        <v>1711</v>
      </c>
      <c r="M7" s="115">
        <v>2</v>
      </c>
    </row>
    <row r="8" spans="1:13" s="89" customFormat="1" ht="24.9" customHeight="1" x14ac:dyDescent="0.3">
      <c r="A8" s="138"/>
      <c r="B8" s="32" t="s">
        <v>303</v>
      </c>
      <c r="C8" s="88" t="s">
        <v>190</v>
      </c>
      <c r="D8" s="88" t="s">
        <v>49</v>
      </c>
      <c r="E8" s="88" t="s">
        <v>27</v>
      </c>
      <c r="F8" s="88" t="s">
        <v>13</v>
      </c>
      <c r="G8" s="15" t="s">
        <v>194</v>
      </c>
      <c r="H8" s="93">
        <v>18500</v>
      </c>
      <c r="I8" s="87"/>
      <c r="J8" s="86"/>
      <c r="L8" s="12" t="s">
        <v>1711</v>
      </c>
      <c r="M8" s="115">
        <v>2</v>
      </c>
    </row>
    <row r="9" spans="1:13" s="89" customFormat="1" ht="24.9" customHeight="1" x14ac:dyDescent="0.3">
      <c r="A9" s="138"/>
      <c r="B9" s="32" t="s">
        <v>304</v>
      </c>
      <c r="C9" s="88" t="s">
        <v>191</v>
      </c>
      <c r="D9" s="88" t="s">
        <v>185</v>
      </c>
      <c r="E9" s="88" t="s">
        <v>27</v>
      </c>
      <c r="F9" s="88" t="s">
        <v>13</v>
      </c>
      <c r="G9" s="15" t="s">
        <v>194</v>
      </c>
      <c r="H9" s="93">
        <v>18500</v>
      </c>
      <c r="I9" s="87"/>
      <c r="J9" s="86"/>
      <c r="L9" s="12" t="s">
        <v>1711</v>
      </c>
      <c r="M9" s="115">
        <v>2</v>
      </c>
    </row>
    <row r="10" spans="1:13" s="89" customFormat="1" ht="24.9" customHeight="1" x14ac:dyDescent="0.3">
      <c r="A10" s="138"/>
      <c r="B10" s="32" t="s">
        <v>305</v>
      </c>
      <c r="C10" s="88" t="s">
        <v>179</v>
      </c>
      <c r="D10" s="88" t="s">
        <v>186</v>
      </c>
      <c r="E10" s="88" t="s">
        <v>27</v>
      </c>
      <c r="F10" s="88" t="s">
        <v>13</v>
      </c>
      <c r="G10" s="15" t="s">
        <v>307</v>
      </c>
      <c r="H10" s="93">
        <v>18500</v>
      </c>
      <c r="I10" s="87"/>
      <c r="J10" s="86"/>
      <c r="L10" s="12" t="s">
        <v>1711</v>
      </c>
      <c r="M10" s="115">
        <v>2</v>
      </c>
    </row>
    <row r="11" spans="1:13" s="89" customFormat="1" ht="24.9" customHeight="1" x14ac:dyDescent="0.3">
      <c r="A11" s="138"/>
      <c r="B11" s="32" t="s">
        <v>306</v>
      </c>
      <c r="C11" s="88" t="s">
        <v>192</v>
      </c>
      <c r="D11" s="88" t="s">
        <v>50</v>
      </c>
      <c r="E11" s="88" t="s">
        <v>27</v>
      </c>
      <c r="F11" s="88" t="s">
        <v>13</v>
      </c>
      <c r="G11" s="15" t="s">
        <v>307</v>
      </c>
      <c r="H11" s="93">
        <v>18500</v>
      </c>
      <c r="I11" s="87"/>
      <c r="J11" s="86"/>
      <c r="L11" s="12" t="s">
        <v>1711</v>
      </c>
      <c r="M11" s="115">
        <v>2</v>
      </c>
    </row>
    <row r="12" spans="1:13" ht="20.100000000000001" customHeight="1" x14ac:dyDescent="0.3">
      <c r="A12" s="149"/>
      <c r="B12" s="149"/>
      <c r="C12" s="149"/>
      <c r="D12" s="149"/>
      <c r="E12" s="149"/>
      <c r="F12" s="149"/>
      <c r="G12" s="149"/>
      <c r="H12" s="149"/>
      <c r="I12" s="149"/>
      <c r="J12" s="149"/>
    </row>
    <row r="13" spans="1:13" ht="192" customHeight="1" x14ac:dyDescent="0.3">
      <c r="A13" s="139" t="s">
        <v>1429</v>
      </c>
      <c r="B13" s="140"/>
      <c r="C13" s="140"/>
      <c r="D13" s="140"/>
      <c r="E13" s="140"/>
      <c r="F13" s="140"/>
      <c r="G13" s="140"/>
      <c r="H13" s="140"/>
      <c r="I13" s="140"/>
      <c r="J13" s="140"/>
    </row>
    <row r="14" spans="1:13" ht="30" customHeight="1" x14ac:dyDescent="0.3">
      <c r="A14" s="5"/>
      <c r="B14" s="38" t="s">
        <v>2</v>
      </c>
      <c r="C14" s="4" t="s">
        <v>42</v>
      </c>
      <c r="D14" s="4" t="s">
        <v>43</v>
      </c>
      <c r="E14" s="3" t="s">
        <v>9</v>
      </c>
      <c r="F14" s="3" t="s">
        <v>10</v>
      </c>
      <c r="G14" s="4" t="s">
        <v>11</v>
      </c>
      <c r="H14" s="4" t="s">
        <v>17</v>
      </c>
      <c r="I14" s="4"/>
      <c r="J14" s="4"/>
    </row>
    <row r="15" spans="1:13" s="89" customFormat="1" ht="20.100000000000001" customHeight="1" x14ac:dyDescent="0.3">
      <c r="A15" s="138"/>
      <c r="B15" s="94" t="s">
        <v>308</v>
      </c>
      <c r="C15" s="88" t="s">
        <v>320</v>
      </c>
      <c r="D15" s="88" t="s">
        <v>216</v>
      </c>
      <c r="E15" s="88" t="s">
        <v>224</v>
      </c>
      <c r="F15" s="88" t="s">
        <v>13</v>
      </c>
      <c r="G15" s="15" t="s">
        <v>322</v>
      </c>
      <c r="H15" s="93">
        <v>7000</v>
      </c>
      <c r="I15" s="87"/>
      <c r="J15" s="86"/>
      <c r="L15" s="12" t="s">
        <v>1761</v>
      </c>
      <c r="M15" s="115"/>
    </row>
    <row r="16" spans="1:13" s="89" customFormat="1" ht="20.100000000000001" customHeight="1" x14ac:dyDescent="0.3">
      <c r="A16" s="138"/>
      <c r="B16" s="94" t="s">
        <v>309</v>
      </c>
      <c r="C16" s="88" t="s">
        <v>214</v>
      </c>
      <c r="D16" s="88" t="s">
        <v>217</v>
      </c>
      <c r="E16" s="88" t="s">
        <v>224</v>
      </c>
      <c r="F16" s="88" t="s">
        <v>13</v>
      </c>
      <c r="G16" s="15" t="s">
        <v>322</v>
      </c>
      <c r="H16" s="93">
        <v>7000</v>
      </c>
      <c r="I16" s="87"/>
      <c r="J16" s="86"/>
      <c r="L16" s="12" t="s">
        <v>1761</v>
      </c>
      <c r="M16" s="115"/>
    </row>
    <row r="17" spans="1:13" s="89" customFormat="1" ht="20.100000000000001" customHeight="1" x14ac:dyDescent="0.3">
      <c r="A17" s="138"/>
      <c r="B17" s="94" t="s">
        <v>310</v>
      </c>
      <c r="C17" s="88" t="s">
        <v>213</v>
      </c>
      <c r="D17" s="88" t="s">
        <v>218</v>
      </c>
      <c r="E17" s="88" t="s">
        <v>224</v>
      </c>
      <c r="F17" s="88" t="s">
        <v>13</v>
      </c>
      <c r="G17" s="15" t="s">
        <v>322</v>
      </c>
      <c r="H17" s="93">
        <v>7000</v>
      </c>
      <c r="I17" s="87"/>
      <c r="J17" s="86"/>
      <c r="L17" s="12" t="s">
        <v>1761</v>
      </c>
      <c r="M17" s="115"/>
    </row>
    <row r="18" spans="1:13" s="89" customFormat="1" ht="20.100000000000001" customHeight="1" x14ac:dyDescent="0.3">
      <c r="A18" s="138"/>
      <c r="B18" s="94" t="s">
        <v>311</v>
      </c>
      <c r="C18" s="88" t="s">
        <v>321</v>
      </c>
      <c r="D18" s="88" t="s">
        <v>219</v>
      </c>
      <c r="E18" s="88" t="s">
        <v>224</v>
      </c>
      <c r="F18" s="88" t="s">
        <v>13</v>
      </c>
      <c r="G18" s="15" t="s">
        <v>322</v>
      </c>
      <c r="H18" s="93">
        <v>7000</v>
      </c>
      <c r="I18" s="87"/>
      <c r="J18" s="86"/>
      <c r="L18" s="12" t="s">
        <v>1761</v>
      </c>
      <c r="M18" s="115"/>
    </row>
    <row r="19" spans="1:13" s="89" customFormat="1" ht="20.100000000000001" customHeight="1" x14ac:dyDescent="0.3">
      <c r="A19" s="138"/>
      <c r="B19" s="32" t="s">
        <v>312</v>
      </c>
      <c r="C19" s="88" t="s">
        <v>320</v>
      </c>
      <c r="D19" s="88" t="s">
        <v>216</v>
      </c>
      <c r="E19" s="88" t="s">
        <v>224</v>
      </c>
      <c r="F19" s="88" t="s">
        <v>13</v>
      </c>
      <c r="G19" s="15" t="s">
        <v>322</v>
      </c>
      <c r="H19" s="93">
        <v>8350</v>
      </c>
      <c r="I19" s="87"/>
      <c r="J19" s="86"/>
      <c r="L19" s="12" t="s">
        <v>1761</v>
      </c>
      <c r="M19" s="115"/>
    </row>
    <row r="20" spans="1:13" s="89" customFormat="1" ht="20.100000000000001" customHeight="1" x14ac:dyDescent="0.3">
      <c r="A20" s="138"/>
      <c r="B20" s="32" t="s">
        <v>313</v>
      </c>
      <c r="C20" s="88" t="s">
        <v>214</v>
      </c>
      <c r="D20" s="88" t="s">
        <v>217</v>
      </c>
      <c r="E20" s="88" t="s">
        <v>224</v>
      </c>
      <c r="F20" s="88" t="s">
        <v>13</v>
      </c>
      <c r="G20" s="15" t="s">
        <v>322</v>
      </c>
      <c r="H20" s="93">
        <v>8350</v>
      </c>
      <c r="I20" s="87"/>
      <c r="J20" s="86"/>
      <c r="L20" s="12" t="s">
        <v>1761</v>
      </c>
      <c r="M20" s="115"/>
    </row>
    <row r="21" spans="1:13" s="89" customFormat="1" ht="20.100000000000001" customHeight="1" x14ac:dyDescent="0.3">
      <c r="A21" s="138"/>
      <c r="B21" s="32" t="s">
        <v>314</v>
      </c>
      <c r="C21" s="88" t="s">
        <v>213</v>
      </c>
      <c r="D21" s="88" t="s">
        <v>218</v>
      </c>
      <c r="E21" s="88" t="s">
        <v>224</v>
      </c>
      <c r="F21" s="88" t="s">
        <v>13</v>
      </c>
      <c r="G21" s="15" t="s">
        <v>322</v>
      </c>
      <c r="H21" s="93">
        <v>8350</v>
      </c>
      <c r="I21" s="87"/>
      <c r="J21" s="86"/>
      <c r="L21" s="12" t="s">
        <v>1761</v>
      </c>
      <c r="M21" s="115"/>
    </row>
    <row r="22" spans="1:13" s="89" customFormat="1" ht="20.100000000000001" customHeight="1" x14ac:dyDescent="0.3">
      <c r="A22" s="138"/>
      <c r="B22" s="32" t="s">
        <v>315</v>
      </c>
      <c r="C22" s="88" t="s">
        <v>321</v>
      </c>
      <c r="D22" s="88" t="s">
        <v>219</v>
      </c>
      <c r="E22" s="88" t="s">
        <v>224</v>
      </c>
      <c r="F22" s="88" t="s">
        <v>13</v>
      </c>
      <c r="G22" s="15" t="s">
        <v>322</v>
      </c>
      <c r="H22" s="93">
        <v>8350</v>
      </c>
      <c r="I22" s="87"/>
      <c r="J22" s="86"/>
      <c r="L22" s="12" t="s">
        <v>1761</v>
      </c>
      <c r="M22" s="115"/>
    </row>
    <row r="23" spans="1:13" s="89" customFormat="1" ht="20.100000000000001" customHeight="1" x14ac:dyDescent="0.3">
      <c r="A23" s="138"/>
      <c r="B23" s="32" t="s">
        <v>316</v>
      </c>
      <c r="C23" s="88" t="s">
        <v>320</v>
      </c>
      <c r="D23" s="88" t="s">
        <v>216</v>
      </c>
      <c r="E23" s="88" t="s">
        <v>224</v>
      </c>
      <c r="F23" s="88" t="s">
        <v>13</v>
      </c>
      <c r="G23" s="15" t="s">
        <v>322</v>
      </c>
      <c r="H23" s="93">
        <v>8800</v>
      </c>
      <c r="I23" s="87"/>
      <c r="J23" s="86"/>
      <c r="L23" s="12" t="s">
        <v>1761</v>
      </c>
      <c r="M23" s="115"/>
    </row>
    <row r="24" spans="1:13" s="89" customFormat="1" ht="20.100000000000001" customHeight="1" x14ac:dyDescent="0.3">
      <c r="A24" s="138"/>
      <c r="B24" s="32" t="s">
        <v>317</v>
      </c>
      <c r="C24" s="88" t="s">
        <v>214</v>
      </c>
      <c r="D24" s="88" t="s">
        <v>217</v>
      </c>
      <c r="E24" s="88" t="s">
        <v>224</v>
      </c>
      <c r="F24" s="88" t="s">
        <v>13</v>
      </c>
      <c r="G24" s="15" t="s">
        <v>322</v>
      </c>
      <c r="H24" s="93">
        <v>8800</v>
      </c>
      <c r="I24" s="87"/>
      <c r="J24" s="86"/>
      <c r="L24" s="12" t="s">
        <v>1761</v>
      </c>
      <c r="M24" s="115"/>
    </row>
    <row r="25" spans="1:13" s="89" customFormat="1" ht="20.100000000000001" customHeight="1" x14ac:dyDescent="0.3">
      <c r="A25" s="138"/>
      <c r="B25" s="32" t="s">
        <v>318</v>
      </c>
      <c r="C25" s="88" t="s">
        <v>213</v>
      </c>
      <c r="D25" s="88" t="s">
        <v>218</v>
      </c>
      <c r="E25" s="88" t="s">
        <v>224</v>
      </c>
      <c r="F25" s="88" t="s">
        <v>13</v>
      </c>
      <c r="G25" s="15" t="s">
        <v>322</v>
      </c>
      <c r="H25" s="93">
        <v>8800</v>
      </c>
      <c r="I25" s="87"/>
      <c r="J25" s="86"/>
      <c r="L25" s="12" t="s">
        <v>1761</v>
      </c>
      <c r="M25" s="115"/>
    </row>
    <row r="26" spans="1:13" s="89" customFormat="1" ht="20.100000000000001" customHeight="1" x14ac:dyDescent="0.3">
      <c r="A26" s="138"/>
      <c r="B26" s="32" t="s">
        <v>319</v>
      </c>
      <c r="C26" s="88" t="s">
        <v>321</v>
      </c>
      <c r="D26" s="88" t="s">
        <v>219</v>
      </c>
      <c r="E26" s="88" t="s">
        <v>224</v>
      </c>
      <c r="F26" s="88" t="s">
        <v>13</v>
      </c>
      <c r="G26" s="15" t="s">
        <v>322</v>
      </c>
      <c r="H26" s="93">
        <v>8800</v>
      </c>
      <c r="I26" s="87"/>
      <c r="J26" s="86"/>
      <c r="L26" s="12" t="s">
        <v>1761</v>
      </c>
      <c r="M26" s="115"/>
    </row>
    <row r="27" spans="1:13" s="89" customFormat="1" ht="20.100000000000001" customHeight="1" x14ac:dyDescent="0.3">
      <c r="A27" s="138"/>
      <c r="B27" s="95" t="s">
        <v>1430</v>
      </c>
      <c r="C27" s="88" t="s">
        <v>320</v>
      </c>
      <c r="D27" s="88" t="s">
        <v>216</v>
      </c>
      <c r="E27" s="88" t="s">
        <v>224</v>
      </c>
      <c r="F27" s="88" t="s">
        <v>13</v>
      </c>
      <c r="G27" s="15" t="s">
        <v>322</v>
      </c>
      <c r="H27" s="93">
        <v>9320</v>
      </c>
      <c r="I27" s="87"/>
      <c r="J27" s="86"/>
      <c r="L27" s="12" t="s">
        <v>1761</v>
      </c>
      <c r="M27" s="115"/>
    </row>
    <row r="28" spans="1:13" s="89" customFormat="1" ht="20.100000000000001" customHeight="1" x14ac:dyDescent="0.3">
      <c r="A28" s="138"/>
      <c r="B28" s="95" t="s">
        <v>1431</v>
      </c>
      <c r="C28" s="88" t="s">
        <v>214</v>
      </c>
      <c r="D28" s="88" t="s">
        <v>217</v>
      </c>
      <c r="E28" s="88" t="s">
        <v>224</v>
      </c>
      <c r="F28" s="88" t="s">
        <v>13</v>
      </c>
      <c r="G28" s="15" t="s">
        <v>322</v>
      </c>
      <c r="H28" s="93">
        <v>9320</v>
      </c>
      <c r="I28" s="87"/>
      <c r="J28" s="86"/>
      <c r="L28" s="12" t="s">
        <v>1761</v>
      </c>
      <c r="M28" s="115"/>
    </row>
    <row r="29" spans="1:13" s="89" customFormat="1" ht="20.100000000000001" customHeight="1" x14ac:dyDescent="0.3">
      <c r="A29" s="138"/>
      <c r="B29" s="95" t="s">
        <v>1432</v>
      </c>
      <c r="C29" s="88" t="s">
        <v>213</v>
      </c>
      <c r="D29" s="88" t="s">
        <v>218</v>
      </c>
      <c r="E29" s="88" t="s">
        <v>224</v>
      </c>
      <c r="F29" s="88" t="s">
        <v>13</v>
      </c>
      <c r="G29" s="15" t="s">
        <v>322</v>
      </c>
      <c r="H29" s="93">
        <v>9320</v>
      </c>
      <c r="I29" s="87"/>
      <c r="J29" s="86"/>
      <c r="L29" s="12" t="s">
        <v>1761</v>
      </c>
      <c r="M29" s="115"/>
    </row>
    <row r="30" spans="1:13" s="89" customFormat="1" ht="20.100000000000001" customHeight="1" x14ac:dyDescent="0.3">
      <c r="A30" s="138"/>
      <c r="B30" s="95" t="s">
        <v>1433</v>
      </c>
      <c r="C30" s="88" t="s">
        <v>321</v>
      </c>
      <c r="D30" s="88" t="s">
        <v>219</v>
      </c>
      <c r="E30" s="88" t="s">
        <v>224</v>
      </c>
      <c r="F30" s="88" t="s">
        <v>13</v>
      </c>
      <c r="G30" s="15" t="s">
        <v>322</v>
      </c>
      <c r="H30" s="93">
        <v>9320</v>
      </c>
      <c r="I30" s="87"/>
      <c r="J30" s="86"/>
      <c r="L30" s="12" t="s">
        <v>1761</v>
      </c>
      <c r="M30" s="115"/>
    </row>
    <row r="31" spans="1:13" s="89" customFormat="1" ht="20.100000000000001" customHeight="1" x14ac:dyDescent="0.3">
      <c r="A31" s="138"/>
      <c r="B31" s="95" t="s">
        <v>1434</v>
      </c>
      <c r="C31" s="88" t="s">
        <v>320</v>
      </c>
      <c r="D31" s="88" t="s">
        <v>216</v>
      </c>
      <c r="E31" s="88" t="s">
        <v>224</v>
      </c>
      <c r="F31" s="88" t="s">
        <v>13</v>
      </c>
      <c r="G31" s="15" t="s">
        <v>322</v>
      </c>
      <c r="H31" s="93">
        <v>9700</v>
      </c>
      <c r="I31" s="87"/>
      <c r="J31" s="86"/>
      <c r="L31" s="12" t="s">
        <v>1761</v>
      </c>
      <c r="M31" s="115"/>
    </row>
    <row r="32" spans="1:13" s="89" customFormat="1" ht="20.100000000000001" customHeight="1" x14ac:dyDescent="0.3">
      <c r="A32" s="138"/>
      <c r="B32" s="95" t="s">
        <v>1435</v>
      </c>
      <c r="C32" s="88" t="s">
        <v>214</v>
      </c>
      <c r="D32" s="88" t="s">
        <v>217</v>
      </c>
      <c r="E32" s="88" t="s">
        <v>224</v>
      </c>
      <c r="F32" s="88" t="s">
        <v>13</v>
      </c>
      <c r="G32" s="15" t="s">
        <v>322</v>
      </c>
      <c r="H32" s="93">
        <v>9700</v>
      </c>
      <c r="I32" s="87"/>
      <c r="J32" s="86"/>
      <c r="L32" s="12" t="s">
        <v>1761</v>
      </c>
      <c r="M32" s="115"/>
    </row>
    <row r="33" spans="1:13" s="89" customFormat="1" ht="20.100000000000001" customHeight="1" x14ac:dyDescent="0.3">
      <c r="A33" s="138"/>
      <c r="B33" s="95" t="s">
        <v>1436</v>
      </c>
      <c r="C33" s="88" t="s">
        <v>213</v>
      </c>
      <c r="D33" s="88" t="s">
        <v>218</v>
      </c>
      <c r="E33" s="88" t="s">
        <v>224</v>
      </c>
      <c r="F33" s="88" t="s">
        <v>13</v>
      </c>
      <c r="G33" s="15" t="s">
        <v>322</v>
      </c>
      <c r="H33" s="93">
        <v>9700</v>
      </c>
      <c r="I33" s="87"/>
      <c r="J33" s="86"/>
      <c r="L33" s="12" t="s">
        <v>1761</v>
      </c>
      <c r="M33" s="115"/>
    </row>
    <row r="34" spans="1:13" s="89" customFormat="1" ht="20.100000000000001" customHeight="1" x14ac:dyDescent="0.3">
      <c r="A34" s="138"/>
      <c r="B34" s="95" t="s">
        <v>1437</v>
      </c>
      <c r="C34" s="88" t="s">
        <v>321</v>
      </c>
      <c r="D34" s="88" t="s">
        <v>219</v>
      </c>
      <c r="E34" s="88" t="s">
        <v>224</v>
      </c>
      <c r="F34" s="88" t="s">
        <v>13</v>
      </c>
      <c r="G34" s="15" t="s">
        <v>322</v>
      </c>
      <c r="H34" s="93">
        <v>9700</v>
      </c>
      <c r="I34" s="87"/>
      <c r="J34" s="86"/>
      <c r="L34" s="12" t="s">
        <v>1761</v>
      </c>
      <c r="M34" s="115"/>
    </row>
    <row r="35" spans="1:13" s="89" customFormat="1" ht="20.100000000000001" customHeight="1" x14ac:dyDescent="0.3">
      <c r="A35" s="138"/>
      <c r="B35" s="95" t="s">
        <v>1438</v>
      </c>
      <c r="C35" s="88" t="s">
        <v>320</v>
      </c>
      <c r="D35" s="88" t="s">
        <v>216</v>
      </c>
      <c r="E35" s="88" t="s">
        <v>224</v>
      </c>
      <c r="F35" s="88" t="s">
        <v>13</v>
      </c>
      <c r="G35" s="15" t="s">
        <v>322</v>
      </c>
      <c r="H35" s="93">
        <v>9100</v>
      </c>
      <c r="I35" s="87"/>
      <c r="J35" s="86"/>
      <c r="L35" s="12" t="s">
        <v>1761</v>
      </c>
      <c r="M35" s="115"/>
    </row>
    <row r="36" spans="1:13" s="89" customFormat="1" ht="20.100000000000001" customHeight="1" x14ac:dyDescent="0.3">
      <c r="A36" s="138"/>
      <c r="B36" s="95" t="s">
        <v>1439</v>
      </c>
      <c r="C36" s="88" t="s">
        <v>214</v>
      </c>
      <c r="D36" s="88" t="s">
        <v>217</v>
      </c>
      <c r="E36" s="88" t="s">
        <v>224</v>
      </c>
      <c r="F36" s="88" t="s">
        <v>13</v>
      </c>
      <c r="G36" s="15" t="s">
        <v>322</v>
      </c>
      <c r="H36" s="93">
        <v>9100</v>
      </c>
      <c r="I36" s="87"/>
      <c r="J36" s="86"/>
      <c r="L36" s="12" t="s">
        <v>1761</v>
      </c>
      <c r="M36" s="115"/>
    </row>
    <row r="37" spans="1:13" s="89" customFormat="1" ht="20.100000000000001" customHeight="1" x14ac:dyDescent="0.3">
      <c r="A37" s="138"/>
      <c r="B37" s="95" t="s">
        <v>1440</v>
      </c>
      <c r="C37" s="88" t="s">
        <v>213</v>
      </c>
      <c r="D37" s="88" t="s">
        <v>218</v>
      </c>
      <c r="E37" s="88" t="s">
        <v>224</v>
      </c>
      <c r="F37" s="88" t="s">
        <v>13</v>
      </c>
      <c r="G37" s="15" t="s">
        <v>322</v>
      </c>
      <c r="H37" s="93">
        <v>9100</v>
      </c>
      <c r="I37" s="87"/>
      <c r="J37" s="86"/>
      <c r="L37" s="12" t="s">
        <v>1761</v>
      </c>
      <c r="M37" s="115"/>
    </row>
    <row r="38" spans="1:13" s="89" customFormat="1" ht="20.100000000000001" customHeight="1" x14ac:dyDescent="0.3">
      <c r="A38" s="138"/>
      <c r="B38" s="95" t="s">
        <v>1441</v>
      </c>
      <c r="C38" s="88" t="s">
        <v>321</v>
      </c>
      <c r="D38" s="88" t="s">
        <v>219</v>
      </c>
      <c r="E38" s="88" t="s">
        <v>224</v>
      </c>
      <c r="F38" s="88" t="s">
        <v>13</v>
      </c>
      <c r="G38" s="15" t="s">
        <v>322</v>
      </c>
      <c r="H38" s="93">
        <v>9100</v>
      </c>
      <c r="I38" s="87"/>
      <c r="J38" s="86"/>
      <c r="L38" s="12" t="s">
        <v>1761</v>
      </c>
      <c r="M38" s="115"/>
    </row>
    <row r="39" spans="1:13" s="89" customFormat="1" ht="20.100000000000001" customHeight="1" x14ac:dyDescent="0.3">
      <c r="A39" s="138"/>
      <c r="B39" s="95" t="s">
        <v>1442</v>
      </c>
      <c r="C39" s="88" t="s">
        <v>320</v>
      </c>
      <c r="D39" s="88" t="s">
        <v>216</v>
      </c>
      <c r="E39" s="88" t="s">
        <v>224</v>
      </c>
      <c r="F39" s="88" t="s">
        <v>13</v>
      </c>
      <c r="G39" s="15" t="s">
        <v>322</v>
      </c>
      <c r="H39" s="93">
        <v>9200</v>
      </c>
      <c r="I39" s="87"/>
      <c r="J39" s="86"/>
      <c r="L39" s="12" t="s">
        <v>1761</v>
      </c>
      <c r="M39" s="115"/>
    </row>
    <row r="40" spans="1:13" s="89" customFormat="1" ht="20.100000000000001" customHeight="1" x14ac:dyDescent="0.3">
      <c r="A40" s="138"/>
      <c r="B40" s="95" t="s">
        <v>1443</v>
      </c>
      <c r="C40" s="88" t="s">
        <v>214</v>
      </c>
      <c r="D40" s="88" t="s">
        <v>217</v>
      </c>
      <c r="E40" s="88" t="s">
        <v>224</v>
      </c>
      <c r="F40" s="88" t="s">
        <v>13</v>
      </c>
      <c r="G40" s="15" t="s">
        <v>322</v>
      </c>
      <c r="H40" s="93">
        <v>9200</v>
      </c>
      <c r="I40" s="87"/>
      <c r="J40" s="86"/>
      <c r="L40" s="12" t="s">
        <v>1761</v>
      </c>
      <c r="M40" s="115"/>
    </row>
    <row r="41" spans="1:13" s="89" customFormat="1" ht="20.100000000000001" customHeight="1" x14ac:dyDescent="0.3">
      <c r="A41" s="138"/>
      <c r="B41" s="95" t="s">
        <v>1444</v>
      </c>
      <c r="C41" s="88" t="s">
        <v>213</v>
      </c>
      <c r="D41" s="88" t="s">
        <v>218</v>
      </c>
      <c r="E41" s="88" t="s">
        <v>224</v>
      </c>
      <c r="F41" s="88" t="s">
        <v>13</v>
      </c>
      <c r="G41" s="15" t="s">
        <v>322</v>
      </c>
      <c r="H41" s="93">
        <v>9200</v>
      </c>
      <c r="I41" s="87"/>
      <c r="J41" s="86"/>
      <c r="L41" s="12" t="s">
        <v>1761</v>
      </c>
      <c r="M41" s="115"/>
    </row>
    <row r="42" spans="1:13" s="89" customFormat="1" ht="20.100000000000001" customHeight="1" x14ac:dyDescent="0.3">
      <c r="A42" s="138"/>
      <c r="B42" s="95" t="s">
        <v>1445</v>
      </c>
      <c r="C42" s="88" t="s">
        <v>321</v>
      </c>
      <c r="D42" s="88" t="s">
        <v>219</v>
      </c>
      <c r="E42" s="88" t="s">
        <v>224</v>
      </c>
      <c r="F42" s="88" t="s">
        <v>13</v>
      </c>
      <c r="G42" s="15" t="s">
        <v>322</v>
      </c>
      <c r="H42" s="93">
        <v>9200</v>
      </c>
      <c r="I42" s="87"/>
      <c r="J42" s="86"/>
      <c r="L42" s="12" t="s">
        <v>1761</v>
      </c>
      <c r="M42" s="115"/>
    </row>
    <row r="43" spans="1:13" s="89" customFormat="1" ht="20.100000000000001" customHeight="1" x14ac:dyDescent="0.3">
      <c r="A43" s="138"/>
      <c r="B43" s="95" t="s">
        <v>1446</v>
      </c>
      <c r="C43" s="88" t="s">
        <v>320</v>
      </c>
      <c r="D43" s="88" t="s">
        <v>216</v>
      </c>
      <c r="E43" s="88" t="s">
        <v>224</v>
      </c>
      <c r="F43" s="88" t="s">
        <v>13</v>
      </c>
      <c r="G43" s="15" t="s">
        <v>322</v>
      </c>
      <c r="H43" s="93">
        <v>9700</v>
      </c>
      <c r="I43" s="87"/>
      <c r="J43" s="86"/>
      <c r="L43" s="12" t="s">
        <v>1761</v>
      </c>
      <c r="M43" s="115"/>
    </row>
    <row r="44" spans="1:13" s="89" customFormat="1" ht="20.100000000000001" customHeight="1" x14ac:dyDescent="0.3">
      <c r="A44" s="138"/>
      <c r="B44" s="95" t="s">
        <v>1447</v>
      </c>
      <c r="C44" s="88" t="s">
        <v>214</v>
      </c>
      <c r="D44" s="88" t="s">
        <v>217</v>
      </c>
      <c r="E44" s="88" t="s">
        <v>224</v>
      </c>
      <c r="F44" s="88" t="s">
        <v>13</v>
      </c>
      <c r="G44" s="15" t="s">
        <v>322</v>
      </c>
      <c r="H44" s="93">
        <v>9700</v>
      </c>
      <c r="I44" s="87"/>
      <c r="J44" s="86"/>
      <c r="L44" s="12" t="s">
        <v>1761</v>
      </c>
      <c r="M44" s="115"/>
    </row>
    <row r="45" spans="1:13" s="89" customFormat="1" ht="20.100000000000001" customHeight="1" x14ac:dyDescent="0.3">
      <c r="A45" s="138"/>
      <c r="B45" s="95" t="s">
        <v>1448</v>
      </c>
      <c r="C45" s="88" t="s">
        <v>213</v>
      </c>
      <c r="D45" s="88" t="s">
        <v>218</v>
      </c>
      <c r="E45" s="88" t="s">
        <v>224</v>
      </c>
      <c r="F45" s="88" t="s">
        <v>13</v>
      </c>
      <c r="G45" s="15" t="s">
        <v>322</v>
      </c>
      <c r="H45" s="93">
        <v>9700</v>
      </c>
      <c r="I45" s="87"/>
      <c r="J45" s="86"/>
      <c r="L45" s="12" t="s">
        <v>1761</v>
      </c>
      <c r="M45" s="115"/>
    </row>
    <row r="46" spans="1:13" s="89" customFormat="1" ht="20.100000000000001" customHeight="1" x14ac:dyDescent="0.3">
      <c r="A46" s="138"/>
      <c r="B46" s="95" t="s">
        <v>1449</v>
      </c>
      <c r="C46" s="88" t="s">
        <v>321</v>
      </c>
      <c r="D46" s="88" t="s">
        <v>219</v>
      </c>
      <c r="E46" s="88" t="s">
        <v>224</v>
      </c>
      <c r="F46" s="88" t="s">
        <v>13</v>
      </c>
      <c r="G46" s="15" t="s">
        <v>322</v>
      </c>
      <c r="H46" s="93">
        <v>9700</v>
      </c>
      <c r="I46" s="87"/>
      <c r="J46" s="86"/>
      <c r="L46" s="12" t="s">
        <v>1761</v>
      </c>
      <c r="M46" s="115"/>
    </row>
    <row r="47" spans="1:13" s="89" customFormat="1" ht="20.100000000000001" customHeight="1" x14ac:dyDescent="0.3">
      <c r="A47" s="143" t="s">
        <v>67</v>
      </c>
      <c r="B47" s="143"/>
      <c r="C47" s="143"/>
      <c r="D47" s="143"/>
      <c r="E47" s="143"/>
      <c r="F47" s="143"/>
      <c r="G47" s="143"/>
      <c r="H47" s="143"/>
      <c r="I47" s="143"/>
      <c r="J47" s="143"/>
      <c r="M47" s="115"/>
    </row>
    <row r="48" spans="1:13" s="89" customFormat="1" ht="20.100000000000001" customHeight="1" x14ac:dyDescent="0.3">
      <c r="A48" s="144" t="s">
        <v>1450</v>
      </c>
      <c r="B48" s="145"/>
      <c r="C48" s="145"/>
      <c r="D48" s="145"/>
      <c r="E48" s="145"/>
      <c r="F48" s="145"/>
      <c r="G48" s="146"/>
      <c r="H48" s="86">
        <v>1180</v>
      </c>
      <c r="I48" s="87"/>
      <c r="J48" s="86"/>
      <c r="M48" s="115"/>
    </row>
    <row r="49" spans="1:13" s="89" customFormat="1" ht="20.100000000000001" customHeight="1" x14ac:dyDescent="0.3">
      <c r="A49" s="177"/>
      <c r="B49" s="177"/>
      <c r="C49" s="177"/>
      <c r="D49" s="177"/>
      <c r="E49" s="177"/>
      <c r="F49" s="177"/>
      <c r="G49" s="177"/>
      <c r="H49" s="177"/>
      <c r="I49" s="177"/>
      <c r="J49" s="177"/>
      <c r="M49" s="115"/>
    </row>
    <row r="50" spans="1:13" ht="39.9" customHeight="1" x14ac:dyDescent="0.3">
      <c r="A50" s="139" t="s">
        <v>1451</v>
      </c>
      <c r="B50" s="140"/>
      <c r="C50" s="140"/>
      <c r="D50" s="140"/>
      <c r="E50" s="140"/>
      <c r="F50" s="140"/>
      <c r="G50" s="140"/>
      <c r="H50" s="140"/>
      <c r="I50" s="140"/>
      <c r="J50" s="140"/>
    </row>
    <row r="51" spans="1:13" ht="30" customHeight="1" x14ac:dyDescent="0.3">
      <c r="A51" s="5"/>
      <c r="B51" s="3" t="s">
        <v>2</v>
      </c>
      <c r="C51" s="4" t="s">
        <v>42</v>
      </c>
      <c r="D51" s="4" t="s">
        <v>43</v>
      </c>
      <c r="E51" s="3" t="s">
        <v>9</v>
      </c>
      <c r="F51" s="3" t="s">
        <v>10</v>
      </c>
      <c r="G51" s="4" t="s">
        <v>11</v>
      </c>
      <c r="H51" s="4" t="s">
        <v>17</v>
      </c>
      <c r="I51" s="4"/>
      <c r="J51" s="4"/>
    </row>
    <row r="52" spans="1:13" s="89" customFormat="1" ht="30" customHeight="1" x14ac:dyDescent="0.3">
      <c r="A52" s="138"/>
      <c r="B52" s="94" t="s">
        <v>740</v>
      </c>
      <c r="C52" s="88" t="s">
        <v>320</v>
      </c>
      <c r="D52" s="88" t="s">
        <v>216</v>
      </c>
      <c r="E52" s="88" t="s">
        <v>224</v>
      </c>
      <c r="F52" s="88" t="s">
        <v>13</v>
      </c>
      <c r="G52" s="15" t="s">
        <v>322</v>
      </c>
      <c r="H52" s="93">
        <v>10780</v>
      </c>
      <c r="I52" s="87"/>
      <c r="J52" s="86"/>
      <c r="M52" s="115"/>
    </row>
    <row r="53" spans="1:13" s="89" customFormat="1" ht="30" customHeight="1" x14ac:dyDescent="0.3">
      <c r="A53" s="138"/>
      <c r="B53" s="94" t="s">
        <v>741</v>
      </c>
      <c r="C53" s="88" t="s">
        <v>214</v>
      </c>
      <c r="D53" s="88" t="s">
        <v>217</v>
      </c>
      <c r="E53" s="88" t="s">
        <v>224</v>
      </c>
      <c r="F53" s="88" t="s">
        <v>13</v>
      </c>
      <c r="G53" s="15" t="s">
        <v>322</v>
      </c>
      <c r="H53" s="93">
        <v>10780</v>
      </c>
      <c r="I53" s="87"/>
      <c r="J53" s="86"/>
      <c r="M53" s="115"/>
    </row>
    <row r="54" spans="1:13" s="89" customFormat="1" ht="30" customHeight="1" x14ac:dyDescent="0.3">
      <c r="A54" s="138"/>
      <c r="B54" s="94" t="s">
        <v>742</v>
      </c>
      <c r="C54" s="88" t="s">
        <v>213</v>
      </c>
      <c r="D54" s="88" t="s">
        <v>218</v>
      </c>
      <c r="E54" s="88" t="s">
        <v>224</v>
      </c>
      <c r="F54" s="88" t="s">
        <v>13</v>
      </c>
      <c r="G54" s="15" t="s">
        <v>322</v>
      </c>
      <c r="H54" s="93">
        <v>10780</v>
      </c>
      <c r="I54" s="87"/>
      <c r="J54" s="86"/>
      <c r="M54" s="115"/>
    </row>
    <row r="55" spans="1:13" s="89" customFormat="1" ht="30" customHeight="1" x14ac:dyDescent="0.3">
      <c r="A55" s="138"/>
      <c r="B55" s="94" t="s">
        <v>743</v>
      </c>
      <c r="C55" s="88" t="s">
        <v>321</v>
      </c>
      <c r="D55" s="88" t="s">
        <v>219</v>
      </c>
      <c r="E55" s="88" t="s">
        <v>224</v>
      </c>
      <c r="F55" s="88" t="s">
        <v>13</v>
      </c>
      <c r="G55" s="15" t="s">
        <v>322</v>
      </c>
      <c r="H55" s="93">
        <v>10780</v>
      </c>
      <c r="I55" s="87"/>
      <c r="J55" s="86"/>
      <c r="M55" s="115"/>
    </row>
    <row r="56" spans="1:13" s="89" customFormat="1" ht="20.100000000000001" customHeight="1" x14ac:dyDescent="0.3">
      <c r="A56" s="143" t="s">
        <v>67</v>
      </c>
      <c r="B56" s="143"/>
      <c r="C56" s="143"/>
      <c r="D56" s="143"/>
      <c r="E56" s="143"/>
      <c r="F56" s="143"/>
      <c r="G56" s="143"/>
      <c r="H56" s="143"/>
      <c r="I56" s="143"/>
      <c r="J56" s="143"/>
      <c r="M56" s="115"/>
    </row>
    <row r="57" spans="1:13" s="89" customFormat="1" ht="20.100000000000001" customHeight="1" x14ac:dyDescent="0.3">
      <c r="A57" s="144" t="s">
        <v>744</v>
      </c>
      <c r="B57" s="145"/>
      <c r="C57" s="145"/>
      <c r="D57" s="145"/>
      <c r="E57" s="145"/>
      <c r="F57" s="145"/>
      <c r="G57" s="146"/>
      <c r="H57" s="86">
        <v>1660</v>
      </c>
      <c r="I57" s="87"/>
      <c r="J57" s="86"/>
      <c r="M57" s="115"/>
    </row>
    <row r="58" spans="1:13" ht="20.100000000000001" customHeight="1" x14ac:dyDescent="0.3">
      <c r="A58" s="149"/>
      <c r="B58" s="149"/>
      <c r="C58" s="149"/>
      <c r="D58" s="149"/>
      <c r="E58" s="149"/>
      <c r="F58" s="149"/>
      <c r="G58" s="149"/>
      <c r="H58" s="149"/>
      <c r="I58" s="149"/>
      <c r="J58" s="149"/>
    </row>
    <row r="59" spans="1:13" ht="39.9" customHeight="1" x14ac:dyDescent="0.3">
      <c r="A59" s="139" t="s">
        <v>1452</v>
      </c>
      <c r="B59" s="140"/>
      <c r="C59" s="140"/>
      <c r="D59" s="140"/>
      <c r="E59" s="140"/>
      <c r="F59" s="140"/>
      <c r="G59" s="140"/>
      <c r="H59" s="140"/>
      <c r="I59" s="140"/>
      <c r="J59" s="140"/>
    </row>
    <row r="60" spans="1:13" ht="30" customHeight="1" x14ac:dyDescent="0.3">
      <c r="A60" s="5"/>
      <c r="B60" s="3" t="s">
        <v>2</v>
      </c>
      <c r="C60" s="4" t="s">
        <v>42</v>
      </c>
      <c r="D60" s="4" t="s">
        <v>43</v>
      </c>
      <c r="E60" s="3" t="s">
        <v>9</v>
      </c>
      <c r="F60" s="3" t="s">
        <v>10</v>
      </c>
      <c r="G60" s="4" t="s">
        <v>11</v>
      </c>
      <c r="H60" s="4" t="s">
        <v>17</v>
      </c>
      <c r="I60" s="4"/>
      <c r="J60" s="4"/>
    </row>
    <row r="61" spans="1:13" s="89" customFormat="1" ht="30" customHeight="1" x14ac:dyDescent="0.3">
      <c r="A61" s="138"/>
      <c r="B61" s="32" t="s">
        <v>745</v>
      </c>
      <c r="C61" s="88" t="s">
        <v>320</v>
      </c>
      <c r="D61" s="88" t="s">
        <v>216</v>
      </c>
      <c r="E61" s="88" t="s">
        <v>224</v>
      </c>
      <c r="F61" s="88" t="s">
        <v>13</v>
      </c>
      <c r="G61" s="15" t="s">
        <v>653</v>
      </c>
      <c r="H61" s="93">
        <v>11700</v>
      </c>
      <c r="I61" s="87"/>
      <c r="J61" s="86"/>
      <c r="M61" s="115"/>
    </row>
    <row r="62" spans="1:13" s="89" customFormat="1" ht="30" customHeight="1" x14ac:dyDescent="0.3">
      <c r="A62" s="138"/>
      <c r="B62" s="32" t="s">
        <v>746</v>
      </c>
      <c r="C62" s="88" t="s">
        <v>214</v>
      </c>
      <c r="D62" s="88" t="s">
        <v>217</v>
      </c>
      <c r="E62" s="88" t="s">
        <v>224</v>
      </c>
      <c r="F62" s="88" t="s">
        <v>13</v>
      </c>
      <c r="G62" s="15" t="s">
        <v>653</v>
      </c>
      <c r="H62" s="93">
        <v>11700</v>
      </c>
      <c r="I62" s="87"/>
      <c r="J62" s="86"/>
      <c r="M62" s="115"/>
    </row>
    <row r="63" spans="1:13" s="89" customFormat="1" ht="30" customHeight="1" x14ac:dyDescent="0.3">
      <c r="A63" s="138"/>
      <c r="B63" s="32" t="s">
        <v>747</v>
      </c>
      <c r="C63" s="88" t="s">
        <v>213</v>
      </c>
      <c r="D63" s="88" t="s">
        <v>218</v>
      </c>
      <c r="E63" s="88" t="s">
        <v>224</v>
      </c>
      <c r="F63" s="88" t="s">
        <v>13</v>
      </c>
      <c r="G63" s="15" t="s">
        <v>653</v>
      </c>
      <c r="H63" s="93">
        <v>11700</v>
      </c>
      <c r="I63" s="87"/>
      <c r="J63" s="86"/>
      <c r="M63" s="115"/>
    </row>
    <row r="64" spans="1:13" s="89" customFormat="1" ht="30" customHeight="1" x14ac:dyDescent="0.3">
      <c r="A64" s="138"/>
      <c r="B64" s="32" t="s">
        <v>748</v>
      </c>
      <c r="C64" s="88" t="s">
        <v>321</v>
      </c>
      <c r="D64" s="88" t="s">
        <v>219</v>
      </c>
      <c r="E64" s="88" t="s">
        <v>224</v>
      </c>
      <c r="F64" s="88" t="s">
        <v>13</v>
      </c>
      <c r="G64" s="15" t="s">
        <v>653</v>
      </c>
      <c r="H64" s="93">
        <v>11700</v>
      </c>
      <c r="I64" s="87"/>
      <c r="J64" s="86"/>
      <c r="M64" s="115"/>
    </row>
    <row r="65" spans="1:13" ht="20.100000000000001" customHeight="1" x14ac:dyDescent="0.3">
      <c r="A65" s="149"/>
      <c r="B65" s="149"/>
      <c r="C65" s="149"/>
      <c r="D65" s="149"/>
      <c r="E65" s="149"/>
      <c r="F65" s="149"/>
      <c r="G65" s="149"/>
      <c r="H65" s="149"/>
      <c r="I65" s="149"/>
      <c r="J65" s="149"/>
    </row>
    <row r="66" spans="1:13" ht="39.9" customHeight="1" x14ac:dyDescent="0.3">
      <c r="A66" s="139" t="s">
        <v>1453</v>
      </c>
      <c r="B66" s="140"/>
      <c r="C66" s="140"/>
      <c r="D66" s="140"/>
      <c r="E66" s="140"/>
      <c r="F66" s="140"/>
      <c r="G66" s="140"/>
      <c r="H66" s="140"/>
      <c r="I66" s="140"/>
      <c r="J66" s="140"/>
    </row>
    <row r="67" spans="1:13" ht="30" customHeight="1" x14ac:dyDescent="0.3">
      <c r="A67" s="5"/>
      <c r="B67" s="3" t="s">
        <v>2</v>
      </c>
      <c r="C67" s="4" t="s">
        <v>42</v>
      </c>
      <c r="D67" s="4" t="s">
        <v>43</v>
      </c>
      <c r="E67" s="3" t="s">
        <v>9</v>
      </c>
      <c r="F67" s="3" t="s">
        <v>10</v>
      </c>
      <c r="G67" s="4" t="s">
        <v>11</v>
      </c>
      <c r="H67" s="4" t="s">
        <v>17</v>
      </c>
      <c r="I67" s="4"/>
      <c r="J67" s="4"/>
    </row>
    <row r="68" spans="1:13" s="89" customFormat="1" ht="30" customHeight="1" x14ac:dyDescent="0.3">
      <c r="A68" s="138"/>
      <c r="B68" s="32" t="s">
        <v>749</v>
      </c>
      <c r="C68" s="88" t="s">
        <v>320</v>
      </c>
      <c r="D68" s="88" t="s">
        <v>216</v>
      </c>
      <c r="E68" s="88" t="s">
        <v>224</v>
      </c>
      <c r="F68" s="88" t="s">
        <v>13</v>
      </c>
      <c r="G68" s="15" t="s">
        <v>653</v>
      </c>
      <c r="H68" s="93">
        <v>9240</v>
      </c>
      <c r="I68" s="87"/>
      <c r="J68" s="86"/>
      <c r="M68" s="115"/>
    </row>
    <row r="69" spans="1:13" s="89" customFormat="1" ht="30" customHeight="1" x14ac:dyDescent="0.3">
      <c r="A69" s="138"/>
      <c r="B69" s="32" t="s">
        <v>750</v>
      </c>
      <c r="C69" s="88" t="s">
        <v>214</v>
      </c>
      <c r="D69" s="88" t="s">
        <v>217</v>
      </c>
      <c r="E69" s="88" t="s">
        <v>224</v>
      </c>
      <c r="F69" s="88" t="s">
        <v>13</v>
      </c>
      <c r="G69" s="15" t="s">
        <v>653</v>
      </c>
      <c r="H69" s="93">
        <v>9240</v>
      </c>
      <c r="I69" s="87"/>
      <c r="J69" s="86"/>
      <c r="M69" s="115"/>
    </row>
    <row r="70" spans="1:13" s="89" customFormat="1" ht="30" customHeight="1" x14ac:dyDescent="0.3">
      <c r="A70" s="138"/>
      <c r="B70" s="32" t="s">
        <v>751</v>
      </c>
      <c r="C70" s="88" t="s">
        <v>213</v>
      </c>
      <c r="D70" s="88" t="s">
        <v>218</v>
      </c>
      <c r="E70" s="88" t="s">
        <v>224</v>
      </c>
      <c r="F70" s="88" t="s">
        <v>13</v>
      </c>
      <c r="G70" s="15" t="s">
        <v>653</v>
      </c>
      <c r="H70" s="93">
        <v>9240</v>
      </c>
      <c r="I70" s="87"/>
      <c r="J70" s="86"/>
      <c r="M70" s="115"/>
    </row>
    <row r="71" spans="1:13" s="89" customFormat="1" ht="30" customHeight="1" x14ac:dyDescent="0.3">
      <c r="A71" s="138"/>
      <c r="B71" s="32" t="s">
        <v>752</v>
      </c>
      <c r="C71" s="88" t="s">
        <v>321</v>
      </c>
      <c r="D71" s="88" t="s">
        <v>219</v>
      </c>
      <c r="E71" s="88" t="s">
        <v>224</v>
      </c>
      <c r="F71" s="88" t="s">
        <v>13</v>
      </c>
      <c r="G71" s="15" t="s">
        <v>653</v>
      </c>
      <c r="H71" s="93">
        <v>9240</v>
      </c>
      <c r="I71" s="87"/>
      <c r="J71" s="86"/>
      <c r="M71" s="115"/>
    </row>
    <row r="72" spans="1:13" ht="20.100000000000001" customHeight="1" x14ac:dyDescent="0.3">
      <c r="A72" s="149"/>
      <c r="B72" s="149"/>
      <c r="C72" s="149"/>
      <c r="D72" s="149"/>
      <c r="E72" s="149"/>
      <c r="F72" s="149"/>
      <c r="G72" s="149"/>
      <c r="H72" s="149"/>
      <c r="I72" s="149"/>
      <c r="J72" s="149"/>
    </row>
    <row r="73" spans="1:13" ht="39.9" customHeight="1" x14ac:dyDescent="0.3">
      <c r="A73" s="139" t="s">
        <v>1454</v>
      </c>
      <c r="B73" s="140"/>
      <c r="C73" s="140"/>
      <c r="D73" s="140"/>
      <c r="E73" s="140"/>
      <c r="F73" s="140"/>
      <c r="G73" s="140"/>
      <c r="H73" s="140"/>
      <c r="I73" s="140"/>
      <c r="J73" s="140"/>
    </row>
    <row r="74" spans="1:13" ht="30" customHeight="1" x14ac:dyDescent="0.3">
      <c r="A74" s="5"/>
      <c r="B74" s="3" t="s">
        <v>2</v>
      </c>
      <c r="C74" s="4" t="s">
        <v>42</v>
      </c>
      <c r="D74" s="4" t="s">
        <v>43</v>
      </c>
      <c r="E74" s="3" t="s">
        <v>9</v>
      </c>
      <c r="F74" s="3" t="s">
        <v>10</v>
      </c>
      <c r="G74" s="4" t="s">
        <v>11</v>
      </c>
      <c r="H74" s="4" t="s">
        <v>17</v>
      </c>
      <c r="I74" s="4"/>
      <c r="J74" s="4"/>
    </row>
    <row r="75" spans="1:13" s="89" customFormat="1" ht="39.9" customHeight="1" x14ac:dyDescent="0.3">
      <c r="A75" s="138"/>
      <c r="B75" s="94" t="s">
        <v>753</v>
      </c>
      <c r="C75" s="88" t="s">
        <v>214</v>
      </c>
      <c r="D75" s="88" t="s">
        <v>217</v>
      </c>
      <c r="E75" s="88" t="s">
        <v>224</v>
      </c>
      <c r="F75" s="88" t="s">
        <v>13</v>
      </c>
      <c r="G75" s="15" t="s">
        <v>756</v>
      </c>
      <c r="H75" s="93">
        <v>10500</v>
      </c>
      <c r="I75" s="87"/>
      <c r="J75" s="86"/>
      <c r="M75" s="115"/>
    </row>
    <row r="76" spans="1:13" s="89" customFormat="1" ht="39.9" customHeight="1" x14ac:dyDescent="0.3">
      <c r="A76" s="138"/>
      <c r="B76" s="94" t="s">
        <v>754</v>
      </c>
      <c r="C76" s="88" t="s">
        <v>213</v>
      </c>
      <c r="D76" s="88" t="s">
        <v>218</v>
      </c>
      <c r="E76" s="88" t="s">
        <v>224</v>
      </c>
      <c r="F76" s="88" t="s">
        <v>13</v>
      </c>
      <c r="G76" s="15" t="s">
        <v>756</v>
      </c>
      <c r="H76" s="93">
        <v>10500</v>
      </c>
      <c r="I76" s="87"/>
      <c r="J76" s="86"/>
      <c r="M76" s="115"/>
    </row>
    <row r="77" spans="1:13" s="89" customFormat="1" ht="39.9" customHeight="1" x14ac:dyDescent="0.3">
      <c r="A77" s="138"/>
      <c r="B77" s="94" t="s">
        <v>755</v>
      </c>
      <c r="C77" s="88" t="s">
        <v>321</v>
      </c>
      <c r="D77" s="88" t="s">
        <v>219</v>
      </c>
      <c r="E77" s="88" t="s">
        <v>224</v>
      </c>
      <c r="F77" s="88" t="s">
        <v>13</v>
      </c>
      <c r="G77" s="15" t="s">
        <v>756</v>
      </c>
      <c r="H77" s="93">
        <v>10500</v>
      </c>
      <c r="I77" s="87"/>
      <c r="J77" s="86"/>
      <c r="M77" s="115"/>
    </row>
    <row r="78" spans="1:13" ht="20.100000000000001" customHeight="1" x14ac:dyDescent="0.3">
      <c r="A78" s="149"/>
      <c r="B78" s="149"/>
      <c r="C78" s="149"/>
      <c r="D78" s="149"/>
      <c r="E78" s="149"/>
      <c r="F78" s="149"/>
      <c r="G78" s="149"/>
      <c r="H78" s="149"/>
      <c r="I78" s="149"/>
      <c r="J78" s="149"/>
    </row>
    <row r="79" spans="1:13" ht="39.9" customHeight="1" x14ac:dyDescent="0.3">
      <c r="A79" s="139" t="s">
        <v>1455</v>
      </c>
      <c r="B79" s="140"/>
      <c r="C79" s="140"/>
      <c r="D79" s="140"/>
      <c r="E79" s="140"/>
      <c r="F79" s="140"/>
      <c r="G79" s="140"/>
      <c r="H79" s="140"/>
      <c r="I79" s="140"/>
      <c r="J79" s="140"/>
    </row>
    <row r="80" spans="1:13" ht="30" customHeight="1" x14ac:dyDescent="0.3">
      <c r="A80" s="5"/>
      <c r="B80" s="3" t="s">
        <v>2</v>
      </c>
      <c r="C80" s="4" t="s">
        <v>42</v>
      </c>
      <c r="D80" s="4" t="s">
        <v>43</v>
      </c>
      <c r="E80" s="3" t="s">
        <v>9</v>
      </c>
      <c r="F80" s="3" t="s">
        <v>10</v>
      </c>
      <c r="G80" s="4" t="s">
        <v>11</v>
      </c>
      <c r="H80" s="4" t="s">
        <v>17</v>
      </c>
      <c r="I80" s="4"/>
      <c r="J80" s="4"/>
    </row>
    <row r="81" spans="1:13" s="89" customFormat="1" ht="39.9" customHeight="1" x14ac:dyDescent="0.3">
      <c r="A81" s="138"/>
      <c r="B81" s="32" t="s">
        <v>757</v>
      </c>
      <c r="C81" s="88" t="s">
        <v>214</v>
      </c>
      <c r="D81" s="88" t="s">
        <v>217</v>
      </c>
      <c r="E81" s="88" t="s">
        <v>224</v>
      </c>
      <c r="F81" s="88" t="s">
        <v>13</v>
      </c>
      <c r="G81" s="15" t="s">
        <v>756</v>
      </c>
      <c r="H81" s="93">
        <v>10320</v>
      </c>
      <c r="I81" s="87"/>
      <c r="J81" s="86"/>
      <c r="M81" s="115"/>
    </row>
    <row r="82" spans="1:13" s="89" customFormat="1" ht="39.9" customHeight="1" x14ac:dyDescent="0.3">
      <c r="A82" s="138"/>
      <c r="B82" s="32" t="s">
        <v>758</v>
      </c>
      <c r="C82" s="88" t="s">
        <v>213</v>
      </c>
      <c r="D82" s="88" t="s">
        <v>218</v>
      </c>
      <c r="E82" s="88" t="s">
        <v>224</v>
      </c>
      <c r="F82" s="88" t="s">
        <v>13</v>
      </c>
      <c r="G82" s="15" t="s">
        <v>756</v>
      </c>
      <c r="H82" s="93">
        <v>10320</v>
      </c>
      <c r="I82" s="87"/>
      <c r="J82" s="86"/>
      <c r="M82" s="115"/>
    </row>
    <row r="83" spans="1:13" s="89" customFormat="1" ht="39.9" customHeight="1" x14ac:dyDescent="0.3">
      <c r="A83" s="138"/>
      <c r="B83" s="32" t="s">
        <v>759</v>
      </c>
      <c r="C83" s="88" t="s">
        <v>321</v>
      </c>
      <c r="D83" s="88" t="s">
        <v>219</v>
      </c>
      <c r="E83" s="88" t="s">
        <v>224</v>
      </c>
      <c r="F83" s="88" t="s">
        <v>13</v>
      </c>
      <c r="G83" s="15" t="s">
        <v>756</v>
      </c>
      <c r="H83" s="93">
        <v>10320</v>
      </c>
      <c r="I83" s="87"/>
      <c r="J83" s="86"/>
      <c r="M83" s="115"/>
    </row>
    <row r="84" spans="1:13" ht="20.100000000000001" customHeight="1" x14ac:dyDescent="0.3">
      <c r="A84" s="149"/>
      <c r="B84" s="149"/>
      <c r="C84" s="149"/>
      <c r="D84" s="149"/>
      <c r="E84" s="149"/>
      <c r="F84" s="149"/>
      <c r="G84" s="149"/>
      <c r="H84" s="149"/>
      <c r="I84" s="149"/>
      <c r="J84" s="149"/>
    </row>
    <row r="85" spans="1:13" ht="39.9" customHeight="1" x14ac:dyDescent="0.3">
      <c r="A85" s="139" t="s">
        <v>1497</v>
      </c>
      <c r="B85" s="140"/>
      <c r="C85" s="140"/>
      <c r="D85" s="140"/>
      <c r="E85" s="140"/>
      <c r="F85" s="140"/>
      <c r="G85" s="140"/>
      <c r="H85" s="140"/>
      <c r="I85" s="140"/>
      <c r="J85" s="140"/>
    </row>
    <row r="86" spans="1:13" ht="30" customHeight="1" x14ac:dyDescent="0.3">
      <c r="A86" s="5"/>
      <c r="B86" s="38" t="s">
        <v>2</v>
      </c>
      <c r="C86" s="4" t="s">
        <v>42</v>
      </c>
      <c r="D86" s="4" t="s">
        <v>43</v>
      </c>
      <c r="E86" s="3" t="s">
        <v>9</v>
      </c>
      <c r="F86" s="3" t="s">
        <v>10</v>
      </c>
      <c r="G86" s="4" t="s">
        <v>11</v>
      </c>
      <c r="H86" s="4" t="s">
        <v>17</v>
      </c>
      <c r="I86" s="4"/>
      <c r="J86" s="4"/>
    </row>
    <row r="87" spans="1:13" s="89" customFormat="1" ht="39.9" customHeight="1" x14ac:dyDescent="0.3">
      <c r="A87" s="137"/>
      <c r="B87" s="32" t="s">
        <v>760</v>
      </c>
      <c r="C87" s="88" t="s">
        <v>214</v>
      </c>
      <c r="D87" s="88" t="s">
        <v>217</v>
      </c>
      <c r="E87" s="88" t="s">
        <v>224</v>
      </c>
      <c r="F87" s="88" t="s">
        <v>13</v>
      </c>
      <c r="G87" s="15" t="s">
        <v>756</v>
      </c>
      <c r="H87" s="93">
        <v>10000</v>
      </c>
      <c r="I87" s="87"/>
      <c r="J87" s="86"/>
      <c r="M87" s="115"/>
    </row>
    <row r="88" spans="1:13" s="89" customFormat="1" ht="39.9" customHeight="1" x14ac:dyDescent="0.3">
      <c r="A88" s="175"/>
      <c r="B88" s="32" t="s">
        <v>761</v>
      </c>
      <c r="C88" s="88" t="s">
        <v>213</v>
      </c>
      <c r="D88" s="88" t="s">
        <v>218</v>
      </c>
      <c r="E88" s="88" t="s">
        <v>224</v>
      </c>
      <c r="F88" s="88" t="s">
        <v>13</v>
      </c>
      <c r="G88" s="15" t="s">
        <v>756</v>
      </c>
      <c r="H88" s="93">
        <v>10000</v>
      </c>
      <c r="I88" s="87"/>
      <c r="J88" s="86"/>
      <c r="M88" s="115"/>
    </row>
    <row r="89" spans="1:13" s="89" customFormat="1" ht="39.9" customHeight="1" x14ac:dyDescent="0.3">
      <c r="A89" s="175"/>
      <c r="B89" s="32" t="s">
        <v>762</v>
      </c>
      <c r="C89" s="88" t="s">
        <v>321</v>
      </c>
      <c r="D89" s="88" t="s">
        <v>219</v>
      </c>
      <c r="E89" s="88" t="s">
        <v>224</v>
      </c>
      <c r="F89" s="88" t="s">
        <v>13</v>
      </c>
      <c r="G89" s="15" t="s">
        <v>756</v>
      </c>
      <c r="H89" s="93">
        <v>10000</v>
      </c>
      <c r="I89" s="87"/>
      <c r="J89" s="86"/>
      <c r="M89" s="115"/>
    </row>
    <row r="90" spans="1:13" ht="20.100000000000001" customHeight="1" x14ac:dyDescent="0.3">
      <c r="A90" s="149"/>
      <c r="B90" s="149"/>
      <c r="C90" s="149"/>
      <c r="D90" s="149"/>
      <c r="E90" s="149"/>
      <c r="F90" s="149"/>
      <c r="G90" s="149"/>
      <c r="H90" s="149"/>
      <c r="I90" s="149"/>
      <c r="J90" s="149"/>
    </row>
    <row r="91" spans="1:13" ht="94.5" customHeight="1" x14ac:dyDescent="0.3">
      <c r="A91" s="139" t="s">
        <v>1456</v>
      </c>
      <c r="B91" s="140"/>
      <c r="C91" s="140"/>
      <c r="D91" s="140"/>
      <c r="E91" s="140"/>
      <c r="F91" s="140"/>
      <c r="G91" s="140"/>
      <c r="H91" s="140"/>
      <c r="I91" s="140"/>
      <c r="J91" s="140"/>
    </row>
    <row r="92" spans="1:13" ht="30" customHeight="1" x14ac:dyDescent="0.3">
      <c r="A92" s="5"/>
      <c r="B92" s="3" t="s">
        <v>2</v>
      </c>
      <c r="C92" s="4" t="s">
        <v>42</v>
      </c>
      <c r="D92" s="4" t="s">
        <v>43</v>
      </c>
      <c r="E92" s="3" t="s">
        <v>9</v>
      </c>
      <c r="F92" s="3" t="s">
        <v>10</v>
      </c>
      <c r="G92" s="4" t="s">
        <v>11</v>
      </c>
      <c r="H92" s="4" t="s">
        <v>17</v>
      </c>
      <c r="I92" s="4"/>
      <c r="J92" s="4"/>
    </row>
    <row r="93" spans="1:13" s="89" customFormat="1" ht="24.9" customHeight="1" x14ac:dyDescent="0.3">
      <c r="A93" s="137"/>
      <c r="B93" s="32" t="s">
        <v>763</v>
      </c>
      <c r="C93" s="88" t="s">
        <v>214</v>
      </c>
      <c r="D93" s="88" t="s">
        <v>217</v>
      </c>
      <c r="E93" s="88" t="s">
        <v>224</v>
      </c>
      <c r="F93" s="88" t="s">
        <v>13</v>
      </c>
      <c r="G93" s="15" t="s">
        <v>756</v>
      </c>
      <c r="H93" s="93">
        <v>10000</v>
      </c>
      <c r="I93" s="87"/>
      <c r="J93" s="86"/>
      <c r="M93" s="115"/>
    </row>
    <row r="94" spans="1:13" s="89" customFormat="1" ht="24.9" customHeight="1" x14ac:dyDescent="0.3">
      <c r="A94" s="175"/>
      <c r="B94" s="32" t="s">
        <v>764</v>
      </c>
      <c r="C94" s="88" t="s">
        <v>213</v>
      </c>
      <c r="D94" s="88" t="s">
        <v>218</v>
      </c>
      <c r="E94" s="88" t="s">
        <v>224</v>
      </c>
      <c r="F94" s="88" t="s">
        <v>13</v>
      </c>
      <c r="G94" s="15" t="s">
        <v>756</v>
      </c>
      <c r="H94" s="93">
        <v>10000</v>
      </c>
      <c r="I94" s="87"/>
      <c r="J94" s="86"/>
      <c r="M94" s="115"/>
    </row>
    <row r="95" spans="1:13" s="89" customFormat="1" ht="24.9" customHeight="1" x14ac:dyDescent="0.3">
      <c r="A95" s="175"/>
      <c r="B95" s="32" t="s">
        <v>765</v>
      </c>
      <c r="C95" s="88" t="s">
        <v>321</v>
      </c>
      <c r="D95" s="88" t="s">
        <v>219</v>
      </c>
      <c r="E95" s="88" t="s">
        <v>224</v>
      </c>
      <c r="F95" s="88" t="s">
        <v>13</v>
      </c>
      <c r="G95" s="15" t="s">
        <v>756</v>
      </c>
      <c r="H95" s="93">
        <v>10000</v>
      </c>
      <c r="I95" s="87"/>
      <c r="J95" s="86"/>
      <c r="M95" s="115"/>
    </row>
    <row r="96" spans="1:13" s="89" customFormat="1" ht="24.9" customHeight="1" x14ac:dyDescent="0.3">
      <c r="A96" s="175"/>
      <c r="B96" s="95" t="s">
        <v>1457</v>
      </c>
      <c r="C96" s="88" t="s">
        <v>214</v>
      </c>
      <c r="D96" s="88" t="s">
        <v>217</v>
      </c>
      <c r="E96" s="88" t="s">
        <v>224</v>
      </c>
      <c r="F96" s="88" t="s">
        <v>13</v>
      </c>
      <c r="G96" s="15" t="s">
        <v>756</v>
      </c>
      <c r="H96" s="93">
        <v>10500</v>
      </c>
      <c r="I96" s="87"/>
      <c r="J96" s="86"/>
      <c r="M96" s="115"/>
    </row>
    <row r="97" spans="1:13" s="89" customFormat="1" ht="24.9" customHeight="1" x14ac:dyDescent="0.3">
      <c r="A97" s="175"/>
      <c r="B97" s="95" t="s">
        <v>1458</v>
      </c>
      <c r="C97" s="88" t="s">
        <v>213</v>
      </c>
      <c r="D97" s="88" t="s">
        <v>218</v>
      </c>
      <c r="E97" s="88" t="s">
        <v>224</v>
      </c>
      <c r="F97" s="88" t="s">
        <v>13</v>
      </c>
      <c r="G97" s="15" t="s">
        <v>756</v>
      </c>
      <c r="H97" s="93">
        <v>10500</v>
      </c>
      <c r="I97" s="87"/>
      <c r="J97" s="86"/>
      <c r="M97" s="115"/>
    </row>
    <row r="98" spans="1:13" s="89" customFormat="1" ht="24.9" customHeight="1" x14ac:dyDescent="0.3">
      <c r="A98" s="178"/>
      <c r="B98" s="95" t="s">
        <v>1459</v>
      </c>
      <c r="C98" s="88" t="s">
        <v>321</v>
      </c>
      <c r="D98" s="88" t="s">
        <v>219</v>
      </c>
      <c r="E98" s="88" t="s">
        <v>224</v>
      </c>
      <c r="F98" s="88" t="s">
        <v>13</v>
      </c>
      <c r="G98" s="15" t="s">
        <v>756</v>
      </c>
      <c r="H98" s="93">
        <v>10500</v>
      </c>
      <c r="I98" s="87"/>
      <c r="J98" s="86"/>
      <c r="M98" s="115"/>
    </row>
    <row r="99" spans="1:13" ht="20.100000000000001" customHeight="1" x14ac:dyDescent="0.3">
      <c r="A99" s="149"/>
      <c r="B99" s="149"/>
      <c r="C99" s="149"/>
      <c r="D99" s="149"/>
      <c r="E99" s="149"/>
      <c r="F99" s="149"/>
      <c r="G99" s="149"/>
      <c r="H99" s="149"/>
      <c r="I99" s="149"/>
      <c r="J99" s="149"/>
    </row>
    <row r="100" spans="1:13" ht="39.9" customHeight="1" x14ac:dyDescent="0.3">
      <c r="A100" s="139" t="s">
        <v>1460</v>
      </c>
      <c r="B100" s="140"/>
      <c r="C100" s="140"/>
      <c r="D100" s="140"/>
      <c r="E100" s="140"/>
      <c r="F100" s="140"/>
      <c r="G100" s="140"/>
      <c r="H100" s="140"/>
      <c r="I100" s="140"/>
      <c r="J100" s="140"/>
    </row>
    <row r="101" spans="1:13" ht="30" customHeight="1" x14ac:dyDescent="0.3">
      <c r="A101" s="42"/>
      <c r="B101" s="38" t="s">
        <v>2</v>
      </c>
      <c r="C101" s="4" t="s">
        <v>42</v>
      </c>
      <c r="D101" s="4" t="s">
        <v>43</v>
      </c>
      <c r="E101" s="38" t="s">
        <v>9</v>
      </c>
      <c r="F101" s="38" t="s">
        <v>10</v>
      </c>
      <c r="G101" s="4" t="s">
        <v>11</v>
      </c>
      <c r="H101" s="4" t="s">
        <v>17</v>
      </c>
      <c r="I101" s="4"/>
      <c r="J101" s="4"/>
    </row>
    <row r="102" spans="1:13" s="89" customFormat="1" ht="39.9" customHeight="1" x14ac:dyDescent="0.3">
      <c r="A102" s="138"/>
      <c r="B102" s="32" t="s">
        <v>1023</v>
      </c>
      <c r="C102" s="88" t="s">
        <v>214</v>
      </c>
      <c r="D102" s="88" t="s">
        <v>217</v>
      </c>
      <c r="E102" s="88" t="s">
        <v>224</v>
      </c>
      <c r="F102" s="88" t="s">
        <v>13</v>
      </c>
      <c r="G102" s="15" t="s">
        <v>1026</v>
      </c>
      <c r="H102" s="93">
        <v>17500</v>
      </c>
      <c r="I102" s="87"/>
      <c r="J102" s="86"/>
      <c r="M102" s="115"/>
    </row>
    <row r="103" spans="1:13" s="89" customFormat="1" ht="39.9" customHeight="1" x14ac:dyDescent="0.3">
      <c r="A103" s="138"/>
      <c r="B103" s="32" t="s">
        <v>1024</v>
      </c>
      <c r="C103" s="88" t="s">
        <v>213</v>
      </c>
      <c r="D103" s="88" t="s">
        <v>218</v>
      </c>
      <c r="E103" s="88" t="s">
        <v>224</v>
      </c>
      <c r="F103" s="88" t="s">
        <v>13</v>
      </c>
      <c r="G103" s="15" t="s">
        <v>1026</v>
      </c>
      <c r="H103" s="93">
        <v>17500</v>
      </c>
      <c r="I103" s="87"/>
      <c r="J103" s="86"/>
      <c r="M103" s="115"/>
    </row>
    <row r="104" spans="1:13" s="89" customFormat="1" ht="39.9" customHeight="1" x14ac:dyDescent="0.3">
      <c r="A104" s="138"/>
      <c r="B104" s="32" t="s">
        <v>1025</v>
      </c>
      <c r="C104" s="88" t="s">
        <v>321</v>
      </c>
      <c r="D104" s="88" t="s">
        <v>219</v>
      </c>
      <c r="E104" s="88" t="s">
        <v>224</v>
      </c>
      <c r="F104" s="88" t="s">
        <v>13</v>
      </c>
      <c r="G104" s="15" t="s">
        <v>1026</v>
      </c>
      <c r="H104" s="93">
        <v>17500</v>
      </c>
      <c r="I104" s="87"/>
      <c r="J104" s="86"/>
      <c r="M104" s="115"/>
    </row>
    <row r="105" spans="1:13" ht="20.100000000000001" customHeight="1" x14ac:dyDescent="0.3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</row>
    <row r="106" spans="1:13" ht="39.9" customHeight="1" x14ac:dyDescent="0.3">
      <c r="A106" s="139" t="s">
        <v>1461</v>
      </c>
      <c r="B106" s="140"/>
      <c r="C106" s="140"/>
      <c r="D106" s="140"/>
      <c r="E106" s="140"/>
      <c r="F106" s="140"/>
      <c r="G106" s="140"/>
      <c r="H106" s="140"/>
      <c r="I106" s="140"/>
      <c r="J106" s="140"/>
    </row>
    <row r="107" spans="1:13" ht="30" customHeight="1" x14ac:dyDescent="0.3">
      <c r="A107" s="42"/>
      <c r="B107" s="38" t="s">
        <v>2</v>
      </c>
      <c r="C107" s="4" t="s">
        <v>42</v>
      </c>
      <c r="D107" s="4" t="s">
        <v>43</v>
      </c>
      <c r="E107" s="38" t="s">
        <v>9</v>
      </c>
      <c r="F107" s="38" t="s">
        <v>10</v>
      </c>
      <c r="G107" s="4" t="s">
        <v>11</v>
      </c>
      <c r="H107" s="4" t="s">
        <v>17</v>
      </c>
      <c r="I107" s="4"/>
      <c r="J107" s="4"/>
    </row>
    <row r="108" spans="1:13" s="89" customFormat="1" ht="39.9" customHeight="1" x14ac:dyDescent="0.3">
      <c r="A108" s="138"/>
      <c r="B108" s="32" t="s">
        <v>1027</v>
      </c>
      <c r="C108" s="88" t="s">
        <v>214</v>
      </c>
      <c r="D108" s="88" t="s">
        <v>217</v>
      </c>
      <c r="E108" s="88" t="s">
        <v>224</v>
      </c>
      <c r="F108" s="88" t="s">
        <v>13</v>
      </c>
      <c r="G108" s="15" t="s">
        <v>1026</v>
      </c>
      <c r="H108" s="93">
        <v>26580</v>
      </c>
      <c r="I108" s="87"/>
      <c r="J108" s="86"/>
      <c r="M108" s="115"/>
    </row>
    <row r="109" spans="1:13" s="89" customFormat="1" ht="39.9" customHeight="1" x14ac:dyDescent="0.3">
      <c r="A109" s="138"/>
      <c r="B109" s="32" t="s">
        <v>1028</v>
      </c>
      <c r="C109" s="88" t="s">
        <v>213</v>
      </c>
      <c r="D109" s="88" t="s">
        <v>218</v>
      </c>
      <c r="E109" s="88" t="s">
        <v>224</v>
      </c>
      <c r="F109" s="88" t="s">
        <v>13</v>
      </c>
      <c r="G109" s="15" t="s">
        <v>1026</v>
      </c>
      <c r="H109" s="93">
        <v>26580</v>
      </c>
      <c r="I109" s="87"/>
      <c r="J109" s="86"/>
      <c r="M109" s="115"/>
    </row>
    <row r="110" spans="1:13" s="89" customFormat="1" ht="39.9" customHeight="1" x14ac:dyDescent="0.3">
      <c r="A110" s="138"/>
      <c r="B110" s="32" t="s">
        <v>1029</v>
      </c>
      <c r="C110" s="88" t="s">
        <v>321</v>
      </c>
      <c r="D110" s="88" t="s">
        <v>219</v>
      </c>
      <c r="E110" s="88" t="s">
        <v>224</v>
      </c>
      <c r="F110" s="88" t="s">
        <v>13</v>
      </c>
      <c r="G110" s="15" t="s">
        <v>1026</v>
      </c>
      <c r="H110" s="93">
        <v>26580</v>
      </c>
      <c r="I110" s="87"/>
      <c r="J110" s="86"/>
      <c r="M110" s="115"/>
    </row>
    <row r="111" spans="1:13" ht="20.100000000000001" customHeight="1" x14ac:dyDescent="0.3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</row>
    <row r="112" spans="1:13" ht="39.9" customHeight="1" x14ac:dyDescent="0.3">
      <c r="A112" s="139" t="s">
        <v>1462</v>
      </c>
      <c r="B112" s="140"/>
      <c r="C112" s="140"/>
      <c r="D112" s="140"/>
      <c r="E112" s="140"/>
      <c r="F112" s="140"/>
      <c r="G112" s="140"/>
      <c r="H112" s="140"/>
      <c r="I112" s="140"/>
      <c r="J112" s="140"/>
    </row>
    <row r="113" spans="1:13" ht="30" customHeight="1" x14ac:dyDescent="0.3">
      <c r="A113" s="42"/>
      <c r="B113" s="38" t="s">
        <v>2</v>
      </c>
      <c r="C113" s="4" t="s">
        <v>42</v>
      </c>
      <c r="D113" s="4" t="s">
        <v>43</v>
      </c>
      <c r="E113" s="38" t="s">
        <v>9</v>
      </c>
      <c r="F113" s="38" t="s">
        <v>10</v>
      </c>
      <c r="G113" s="4" t="s">
        <v>11</v>
      </c>
      <c r="H113" s="4" t="s">
        <v>17</v>
      </c>
      <c r="I113" s="4"/>
      <c r="J113" s="4"/>
    </row>
    <row r="114" spans="1:13" s="89" customFormat="1" ht="39.9" customHeight="1" x14ac:dyDescent="0.3">
      <c r="A114" s="138"/>
      <c r="B114" s="100" t="s">
        <v>1030</v>
      </c>
      <c r="C114" s="88" t="s">
        <v>214</v>
      </c>
      <c r="D114" s="88" t="s">
        <v>217</v>
      </c>
      <c r="E114" s="88" t="s">
        <v>224</v>
      </c>
      <c r="F114" s="88" t="s">
        <v>13</v>
      </c>
      <c r="G114" s="15" t="s">
        <v>1026</v>
      </c>
      <c r="H114" s="93">
        <v>29150</v>
      </c>
      <c r="I114" s="87"/>
      <c r="J114" s="86"/>
      <c r="M114" s="115"/>
    </row>
    <row r="115" spans="1:13" s="89" customFormat="1" ht="39.9" customHeight="1" x14ac:dyDescent="0.3">
      <c r="A115" s="138"/>
      <c r="B115" s="100" t="s">
        <v>1031</v>
      </c>
      <c r="C115" s="88" t="s">
        <v>213</v>
      </c>
      <c r="D115" s="88" t="s">
        <v>218</v>
      </c>
      <c r="E115" s="88" t="s">
        <v>224</v>
      </c>
      <c r="F115" s="88" t="s">
        <v>13</v>
      </c>
      <c r="G115" s="15" t="s">
        <v>1026</v>
      </c>
      <c r="H115" s="93">
        <v>29150</v>
      </c>
      <c r="I115" s="87"/>
      <c r="J115" s="86"/>
      <c r="M115" s="115"/>
    </row>
    <row r="116" spans="1:13" s="89" customFormat="1" ht="39.9" customHeight="1" x14ac:dyDescent="0.3">
      <c r="A116" s="138"/>
      <c r="B116" s="100" t="s">
        <v>1032</v>
      </c>
      <c r="C116" s="88" t="s">
        <v>321</v>
      </c>
      <c r="D116" s="88" t="s">
        <v>219</v>
      </c>
      <c r="E116" s="88" t="s">
        <v>224</v>
      </c>
      <c r="F116" s="88" t="s">
        <v>13</v>
      </c>
      <c r="G116" s="15" t="s">
        <v>1026</v>
      </c>
      <c r="H116" s="93">
        <v>29150</v>
      </c>
      <c r="I116" s="87"/>
      <c r="J116" s="86"/>
      <c r="M116" s="115"/>
    </row>
    <row r="117" spans="1:13" ht="20.100000000000001" customHeight="1" x14ac:dyDescent="0.3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</row>
    <row r="118" spans="1:13" ht="39.9" customHeight="1" x14ac:dyDescent="0.3">
      <c r="A118" s="139" t="s">
        <v>1463</v>
      </c>
      <c r="B118" s="140"/>
      <c r="C118" s="140"/>
      <c r="D118" s="140"/>
      <c r="E118" s="140"/>
      <c r="F118" s="140"/>
      <c r="G118" s="140"/>
      <c r="H118" s="140"/>
      <c r="I118" s="140"/>
      <c r="J118" s="140"/>
    </row>
    <row r="119" spans="1:13" ht="30" customHeight="1" x14ac:dyDescent="0.3">
      <c r="A119" s="42"/>
      <c r="B119" s="38" t="s">
        <v>2</v>
      </c>
      <c r="C119" s="4" t="s">
        <v>42</v>
      </c>
      <c r="D119" s="4" t="s">
        <v>43</v>
      </c>
      <c r="E119" s="38" t="s">
        <v>9</v>
      </c>
      <c r="F119" s="38" t="s">
        <v>10</v>
      </c>
      <c r="G119" s="4" t="s">
        <v>11</v>
      </c>
      <c r="H119" s="4" t="s">
        <v>17</v>
      </c>
      <c r="I119" s="4"/>
      <c r="J119" s="4"/>
    </row>
    <row r="120" spans="1:13" s="89" customFormat="1" ht="39.9" customHeight="1" x14ac:dyDescent="0.3">
      <c r="A120" s="138"/>
      <c r="B120" s="32" t="s">
        <v>1033</v>
      </c>
      <c r="C120" s="88" t="s">
        <v>214</v>
      </c>
      <c r="D120" s="88" t="s">
        <v>217</v>
      </c>
      <c r="E120" s="88" t="s">
        <v>224</v>
      </c>
      <c r="F120" s="88" t="s">
        <v>13</v>
      </c>
      <c r="G120" s="15" t="s">
        <v>1026</v>
      </c>
      <c r="H120" s="93">
        <v>30340</v>
      </c>
      <c r="I120" s="87"/>
      <c r="J120" s="86"/>
      <c r="M120" s="115"/>
    </row>
    <row r="121" spans="1:13" s="89" customFormat="1" ht="39.9" customHeight="1" x14ac:dyDescent="0.3">
      <c r="A121" s="138"/>
      <c r="B121" s="32" t="s">
        <v>1034</v>
      </c>
      <c r="C121" s="88" t="s">
        <v>213</v>
      </c>
      <c r="D121" s="88" t="s">
        <v>218</v>
      </c>
      <c r="E121" s="88" t="s">
        <v>224</v>
      </c>
      <c r="F121" s="88" t="s">
        <v>13</v>
      </c>
      <c r="G121" s="15" t="s">
        <v>1026</v>
      </c>
      <c r="H121" s="93">
        <v>30340</v>
      </c>
      <c r="I121" s="87"/>
      <c r="J121" s="86"/>
      <c r="M121" s="115"/>
    </row>
    <row r="122" spans="1:13" s="89" customFormat="1" ht="39.9" customHeight="1" x14ac:dyDescent="0.3">
      <c r="A122" s="138"/>
      <c r="B122" s="32" t="s">
        <v>1035</v>
      </c>
      <c r="C122" s="88" t="s">
        <v>321</v>
      </c>
      <c r="D122" s="88" t="s">
        <v>219</v>
      </c>
      <c r="E122" s="88" t="s">
        <v>224</v>
      </c>
      <c r="F122" s="88" t="s">
        <v>13</v>
      </c>
      <c r="G122" s="15" t="s">
        <v>1026</v>
      </c>
      <c r="H122" s="93">
        <v>30340</v>
      </c>
      <c r="I122" s="87"/>
      <c r="J122" s="86"/>
      <c r="M122" s="115"/>
    </row>
    <row r="123" spans="1:13" ht="20.100000000000001" customHeight="1" x14ac:dyDescent="0.3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</row>
    <row r="124" spans="1:13" ht="39.9" customHeight="1" x14ac:dyDescent="0.3">
      <c r="A124" s="139" t="s">
        <v>1464</v>
      </c>
      <c r="B124" s="140"/>
      <c r="C124" s="140"/>
      <c r="D124" s="140"/>
      <c r="E124" s="140"/>
      <c r="F124" s="140"/>
      <c r="G124" s="140"/>
      <c r="H124" s="140"/>
      <c r="I124" s="140"/>
      <c r="J124" s="140"/>
    </row>
    <row r="125" spans="1:13" ht="30" customHeight="1" x14ac:dyDescent="0.3">
      <c r="A125" s="42"/>
      <c r="B125" s="38" t="s">
        <v>2</v>
      </c>
      <c r="C125" s="4" t="s">
        <v>42</v>
      </c>
      <c r="D125" s="4" t="s">
        <v>43</v>
      </c>
      <c r="E125" s="38" t="s">
        <v>9</v>
      </c>
      <c r="F125" s="38" t="s">
        <v>10</v>
      </c>
      <c r="G125" s="4" t="s">
        <v>11</v>
      </c>
      <c r="H125" s="4" t="s">
        <v>17</v>
      </c>
      <c r="I125" s="4"/>
      <c r="J125" s="4"/>
    </row>
    <row r="126" spans="1:13" s="89" customFormat="1" ht="39.9" customHeight="1" x14ac:dyDescent="0.3">
      <c r="A126" s="138"/>
      <c r="B126" s="32" t="s">
        <v>1036</v>
      </c>
      <c r="C126" s="88" t="s">
        <v>214</v>
      </c>
      <c r="D126" s="88" t="s">
        <v>217</v>
      </c>
      <c r="E126" s="88" t="s">
        <v>224</v>
      </c>
      <c r="F126" s="88" t="s">
        <v>13</v>
      </c>
      <c r="G126" s="15" t="s">
        <v>1026</v>
      </c>
      <c r="H126" s="93">
        <v>27820</v>
      </c>
      <c r="I126" s="87"/>
      <c r="J126" s="86"/>
      <c r="M126" s="115"/>
    </row>
    <row r="127" spans="1:13" s="89" customFormat="1" ht="39.9" customHeight="1" x14ac:dyDescent="0.3">
      <c r="A127" s="138"/>
      <c r="B127" s="32" t="s">
        <v>1037</v>
      </c>
      <c r="C127" s="88" t="s">
        <v>213</v>
      </c>
      <c r="D127" s="88" t="s">
        <v>218</v>
      </c>
      <c r="E127" s="88" t="s">
        <v>224</v>
      </c>
      <c r="F127" s="88" t="s">
        <v>13</v>
      </c>
      <c r="G127" s="15" t="s">
        <v>1026</v>
      </c>
      <c r="H127" s="93">
        <v>27820</v>
      </c>
      <c r="I127" s="87"/>
      <c r="J127" s="86"/>
      <c r="M127" s="115"/>
    </row>
    <row r="128" spans="1:13" s="89" customFormat="1" ht="39.9" customHeight="1" x14ac:dyDescent="0.3">
      <c r="A128" s="138"/>
      <c r="B128" s="32" t="s">
        <v>1038</v>
      </c>
      <c r="C128" s="88" t="s">
        <v>321</v>
      </c>
      <c r="D128" s="88" t="s">
        <v>219</v>
      </c>
      <c r="E128" s="88" t="s">
        <v>224</v>
      </c>
      <c r="F128" s="88" t="s">
        <v>13</v>
      </c>
      <c r="G128" s="15" t="s">
        <v>1026</v>
      </c>
      <c r="H128" s="93">
        <v>27820</v>
      </c>
      <c r="I128" s="87"/>
      <c r="J128" s="86"/>
      <c r="M128" s="115"/>
    </row>
    <row r="129" spans="1:13" ht="20.100000000000001" customHeight="1" x14ac:dyDescent="0.3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</row>
    <row r="130" spans="1:13" ht="39.9" customHeight="1" x14ac:dyDescent="0.3">
      <c r="A130" s="139" t="s">
        <v>1468</v>
      </c>
      <c r="B130" s="140"/>
      <c r="C130" s="140"/>
      <c r="D130" s="140"/>
      <c r="E130" s="140"/>
      <c r="F130" s="140"/>
      <c r="G130" s="140"/>
      <c r="H130" s="140"/>
      <c r="I130" s="140"/>
      <c r="J130" s="140"/>
    </row>
    <row r="131" spans="1:13" ht="30" customHeight="1" x14ac:dyDescent="0.3">
      <c r="A131" s="42"/>
      <c r="B131" s="38" t="s">
        <v>2</v>
      </c>
      <c r="C131" s="4" t="s">
        <v>42</v>
      </c>
      <c r="D131" s="4" t="s">
        <v>43</v>
      </c>
      <c r="E131" s="38" t="s">
        <v>9</v>
      </c>
      <c r="F131" s="38" t="s">
        <v>10</v>
      </c>
      <c r="G131" s="4" t="s">
        <v>11</v>
      </c>
      <c r="H131" s="4" t="s">
        <v>17</v>
      </c>
      <c r="I131" s="4"/>
      <c r="J131" s="4"/>
    </row>
    <row r="132" spans="1:13" s="89" customFormat="1" ht="39.9" customHeight="1" x14ac:dyDescent="0.3">
      <c r="A132" s="138"/>
      <c r="B132" s="95" t="s">
        <v>1465</v>
      </c>
      <c r="C132" s="88" t="s">
        <v>214</v>
      </c>
      <c r="D132" s="88" t="s">
        <v>217</v>
      </c>
      <c r="E132" s="88" t="s">
        <v>224</v>
      </c>
      <c r="F132" s="88" t="s">
        <v>13</v>
      </c>
      <c r="G132" s="15" t="s">
        <v>1469</v>
      </c>
      <c r="H132" s="93">
        <v>35740</v>
      </c>
      <c r="I132" s="87"/>
      <c r="J132" s="86"/>
      <c r="M132" s="115"/>
    </row>
    <row r="133" spans="1:13" s="89" customFormat="1" ht="39.9" customHeight="1" x14ac:dyDescent="0.3">
      <c r="A133" s="138"/>
      <c r="B133" s="95" t="s">
        <v>1466</v>
      </c>
      <c r="C133" s="88" t="s">
        <v>213</v>
      </c>
      <c r="D133" s="88" t="s">
        <v>218</v>
      </c>
      <c r="E133" s="88" t="s">
        <v>224</v>
      </c>
      <c r="F133" s="88" t="s">
        <v>13</v>
      </c>
      <c r="G133" s="15" t="s">
        <v>1469</v>
      </c>
      <c r="H133" s="93">
        <v>35740</v>
      </c>
      <c r="I133" s="87"/>
      <c r="J133" s="86"/>
      <c r="M133" s="115"/>
    </row>
    <row r="134" spans="1:13" s="89" customFormat="1" ht="39.9" customHeight="1" x14ac:dyDescent="0.3">
      <c r="A134" s="138"/>
      <c r="B134" s="95" t="s">
        <v>1467</v>
      </c>
      <c r="C134" s="88" t="s">
        <v>321</v>
      </c>
      <c r="D134" s="88" t="s">
        <v>219</v>
      </c>
      <c r="E134" s="88" t="s">
        <v>224</v>
      </c>
      <c r="F134" s="88" t="s">
        <v>13</v>
      </c>
      <c r="G134" s="15" t="s">
        <v>1469</v>
      </c>
      <c r="H134" s="93">
        <v>35740</v>
      </c>
      <c r="I134" s="87"/>
      <c r="J134" s="86"/>
      <c r="M134" s="115"/>
    </row>
    <row r="135" spans="1:13" ht="20.100000000000001" customHeight="1" x14ac:dyDescent="0.3">
      <c r="A135" s="176"/>
      <c r="B135" s="176"/>
      <c r="C135" s="176"/>
      <c r="D135" s="176"/>
      <c r="E135" s="176"/>
      <c r="F135" s="176"/>
      <c r="G135" s="176"/>
      <c r="H135" s="176"/>
      <c r="I135" s="176"/>
      <c r="J135" s="176"/>
    </row>
    <row r="136" spans="1:13" ht="20.100000000000001" customHeight="1" x14ac:dyDescent="0.3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</row>
    <row r="137" spans="1:13" ht="39.9" customHeight="1" x14ac:dyDescent="0.3">
      <c r="A137" s="139" t="s">
        <v>1470</v>
      </c>
      <c r="B137" s="140"/>
      <c r="C137" s="140"/>
      <c r="D137" s="140"/>
      <c r="E137" s="140"/>
      <c r="F137" s="140"/>
      <c r="G137" s="140"/>
      <c r="H137" s="140"/>
      <c r="I137" s="140"/>
      <c r="J137" s="140"/>
    </row>
    <row r="138" spans="1:13" ht="30" customHeight="1" x14ac:dyDescent="0.3">
      <c r="A138" s="64"/>
      <c r="B138" s="38" t="s">
        <v>2</v>
      </c>
      <c r="C138" s="4" t="s">
        <v>42</v>
      </c>
      <c r="D138" s="4" t="s">
        <v>43</v>
      </c>
      <c r="E138" s="38" t="s">
        <v>9</v>
      </c>
      <c r="F138" s="38" t="s">
        <v>10</v>
      </c>
      <c r="G138" s="4" t="s">
        <v>11</v>
      </c>
      <c r="H138" s="4" t="s">
        <v>17</v>
      </c>
      <c r="I138" s="4"/>
      <c r="J138" s="4"/>
    </row>
    <row r="139" spans="1:13" s="89" customFormat="1" ht="39.9" customHeight="1" x14ac:dyDescent="0.3">
      <c r="A139" s="138"/>
      <c r="B139" s="95" t="s">
        <v>1471</v>
      </c>
      <c r="C139" s="88" t="s">
        <v>214</v>
      </c>
      <c r="D139" s="88" t="s">
        <v>217</v>
      </c>
      <c r="E139" s="88" t="s">
        <v>224</v>
      </c>
      <c r="F139" s="88" t="s">
        <v>13</v>
      </c>
      <c r="G139" s="15" t="s">
        <v>1469</v>
      </c>
      <c r="H139" s="93">
        <v>36970</v>
      </c>
      <c r="I139" s="87"/>
      <c r="J139" s="86"/>
      <c r="M139" s="115"/>
    </row>
    <row r="140" spans="1:13" s="89" customFormat="1" ht="39.9" customHeight="1" x14ac:dyDescent="0.3">
      <c r="A140" s="138"/>
      <c r="B140" s="95" t="s">
        <v>1472</v>
      </c>
      <c r="C140" s="88" t="s">
        <v>213</v>
      </c>
      <c r="D140" s="88" t="s">
        <v>218</v>
      </c>
      <c r="E140" s="88" t="s">
        <v>224</v>
      </c>
      <c r="F140" s="88" t="s">
        <v>13</v>
      </c>
      <c r="G140" s="15" t="s">
        <v>1469</v>
      </c>
      <c r="H140" s="93">
        <v>36970</v>
      </c>
      <c r="I140" s="87"/>
      <c r="J140" s="86"/>
      <c r="M140" s="115"/>
    </row>
    <row r="141" spans="1:13" s="89" customFormat="1" ht="39.9" customHeight="1" x14ac:dyDescent="0.3">
      <c r="A141" s="138"/>
      <c r="B141" s="95" t="s">
        <v>1473</v>
      </c>
      <c r="C141" s="88" t="s">
        <v>321</v>
      </c>
      <c r="D141" s="88" t="s">
        <v>219</v>
      </c>
      <c r="E141" s="88" t="s">
        <v>224</v>
      </c>
      <c r="F141" s="88" t="s">
        <v>13</v>
      </c>
      <c r="G141" s="15" t="s">
        <v>1469</v>
      </c>
      <c r="H141" s="93">
        <v>36970</v>
      </c>
      <c r="I141" s="87"/>
      <c r="J141" s="86"/>
      <c r="M141" s="115"/>
    </row>
    <row r="142" spans="1:13" ht="20.100000000000001" customHeight="1" x14ac:dyDescent="0.3">
      <c r="A142" s="176"/>
      <c r="B142" s="176"/>
      <c r="C142" s="176"/>
      <c r="D142" s="176"/>
      <c r="E142" s="176"/>
      <c r="F142" s="176"/>
      <c r="G142" s="176"/>
      <c r="H142" s="176"/>
      <c r="I142" s="176"/>
      <c r="J142" s="176"/>
    </row>
    <row r="143" spans="1:13" ht="39.9" customHeight="1" x14ac:dyDescent="0.3">
      <c r="A143" s="139" t="s">
        <v>1866</v>
      </c>
      <c r="B143" s="140"/>
      <c r="C143" s="140"/>
      <c r="D143" s="140"/>
      <c r="E143" s="140"/>
      <c r="F143" s="140"/>
      <c r="G143" s="140"/>
      <c r="H143" s="140"/>
      <c r="I143" s="140"/>
      <c r="J143" s="140"/>
    </row>
    <row r="144" spans="1:13" ht="30" customHeight="1" x14ac:dyDescent="0.3">
      <c r="A144" s="5"/>
      <c r="B144" s="38" t="s">
        <v>2</v>
      </c>
      <c r="C144" s="4" t="s">
        <v>42</v>
      </c>
      <c r="D144" s="4" t="s">
        <v>43</v>
      </c>
      <c r="E144" s="3" t="s">
        <v>9</v>
      </c>
      <c r="F144" s="3" t="s">
        <v>10</v>
      </c>
      <c r="G144" s="4" t="s">
        <v>11</v>
      </c>
      <c r="H144" s="4" t="s">
        <v>17</v>
      </c>
      <c r="I144" s="4"/>
      <c r="J144" s="4"/>
    </row>
    <row r="145" spans="1:13" ht="30" customHeight="1" x14ac:dyDescent="0.3">
      <c r="A145" s="152"/>
      <c r="B145" s="124" t="s">
        <v>1848</v>
      </c>
      <c r="C145" s="122" t="s">
        <v>213</v>
      </c>
      <c r="D145" s="122" t="s">
        <v>218</v>
      </c>
      <c r="E145" s="122" t="s">
        <v>224</v>
      </c>
      <c r="F145" s="122" t="s">
        <v>13</v>
      </c>
      <c r="G145" s="15" t="s">
        <v>1865</v>
      </c>
      <c r="H145" s="93">
        <v>12150</v>
      </c>
      <c r="I145" s="87"/>
      <c r="J145" s="86"/>
      <c r="M145" s="115">
        <v>12.6</v>
      </c>
    </row>
    <row r="146" spans="1:13" s="89" customFormat="1" ht="30" customHeight="1" x14ac:dyDescent="0.3">
      <c r="A146" s="153"/>
      <c r="B146" s="125" t="s">
        <v>766</v>
      </c>
      <c r="C146" s="88" t="s">
        <v>213</v>
      </c>
      <c r="D146" s="88" t="s">
        <v>218</v>
      </c>
      <c r="E146" s="88" t="s">
        <v>224</v>
      </c>
      <c r="F146" s="88" t="s">
        <v>13</v>
      </c>
      <c r="G146" s="15" t="s">
        <v>1865</v>
      </c>
      <c r="H146" s="93">
        <v>13570</v>
      </c>
      <c r="I146" s="87"/>
      <c r="J146" s="86"/>
      <c r="L146" s="12" t="s">
        <v>1804</v>
      </c>
      <c r="M146" s="115"/>
    </row>
    <row r="147" spans="1:13" s="89" customFormat="1" ht="30" customHeight="1" x14ac:dyDescent="0.3">
      <c r="A147" s="153"/>
      <c r="B147" s="125" t="s">
        <v>767</v>
      </c>
      <c r="C147" s="88" t="s">
        <v>213</v>
      </c>
      <c r="D147" s="88" t="s">
        <v>218</v>
      </c>
      <c r="E147" s="88" t="s">
        <v>224</v>
      </c>
      <c r="F147" s="88" t="s">
        <v>13</v>
      </c>
      <c r="G147" s="15" t="s">
        <v>1865</v>
      </c>
      <c r="H147" s="93">
        <v>15360</v>
      </c>
      <c r="I147" s="87"/>
      <c r="J147" s="86"/>
      <c r="M147" s="115"/>
    </row>
    <row r="148" spans="1:13" s="89" customFormat="1" ht="30" customHeight="1" x14ac:dyDescent="0.3">
      <c r="A148" s="153"/>
      <c r="B148" s="125" t="s">
        <v>768</v>
      </c>
      <c r="C148" s="88" t="s">
        <v>213</v>
      </c>
      <c r="D148" s="88" t="s">
        <v>218</v>
      </c>
      <c r="E148" s="88" t="s">
        <v>224</v>
      </c>
      <c r="F148" s="88" t="s">
        <v>13</v>
      </c>
      <c r="G148" s="15" t="s">
        <v>1865</v>
      </c>
      <c r="H148" s="93">
        <v>14510</v>
      </c>
      <c r="I148" s="87"/>
      <c r="J148" s="86"/>
      <c r="M148" s="115">
        <v>13.5</v>
      </c>
    </row>
    <row r="149" spans="1:13" s="89" customFormat="1" ht="30" customHeight="1" x14ac:dyDescent="0.3">
      <c r="A149" s="153"/>
      <c r="B149" s="124" t="s">
        <v>1849</v>
      </c>
      <c r="C149" s="122" t="s">
        <v>321</v>
      </c>
      <c r="D149" s="122" t="s">
        <v>219</v>
      </c>
      <c r="E149" s="122" t="s">
        <v>224</v>
      </c>
      <c r="F149" s="122" t="s">
        <v>13</v>
      </c>
      <c r="G149" s="15" t="s">
        <v>1865</v>
      </c>
      <c r="H149" s="93">
        <v>12150</v>
      </c>
      <c r="I149" s="87"/>
      <c r="J149" s="86"/>
      <c r="M149" s="115">
        <v>12.6</v>
      </c>
    </row>
    <row r="150" spans="1:13" s="89" customFormat="1" ht="30" customHeight="1" x14ac:dyDescent="0.3">
      <c r="A150" s="153"/>
      <c r="B150" s="125" t="s">
        <v>769</v>
      </c>
      <c r="C150" s="88" t="s">
        <v>321</v>
      </c>
      <c r="D150" s="88" t="s">
        <v>219</v>
      </c>
      <c r="E150" s="88" t="s">
        <v>224</v>
      </c>
      <c r="F150" s="88" t="s">
        <v>13</v>
      </c>
      <c r="G150" s="15" t="s">
        <v>1865</v>
      </c>
      <c r="H150" s="93">
        <v>13570</v>
      </c>
      <c r="I150" s="87"/>
      <c r="J150" s="86"/>
      <c r="L150" s="12" t="s">
        <v>1804</v>
      </c>
      <c r="M150" s="115"/>
    </row>
    <row r="151" spans="1:13" s="89" customFormat="1" ht="30" customHeight="1" x14ac:dyDescent="0.3">
      <c r="A151" s="153"/>
      <c r="B151" s="125" t="s">
        <v>770</v>
      </c>
      <c r="C151" s="88" t="s">
        <v>321</v>
      </c>
      <c r="D151" s="88" t="s">
        <v>219</v>
      </c>
      <c r="E151" s="88" t="s">
        <v>224</v>
      </c>
      <c r="F151" s="88" t="s">
        <v>13</v>
      </c>
      <c r="G151" s="15" t="s">
        <v>1865</v>
      </c>
      <c r="H151" s="93">
        <v>15360</v>
      </c>
      <c r="I151" s="87"/>
      <c r="J151" s="86"/>
      <c r="M151" s="115"/>
    </row>
    <row r="152" spans="1:13" s="89" customFormat="1" ht="30" customHeight="1" x14ac:dyDescent="0.3">
      <c r="A152" s="153"/>
      <c r="B152" s="125" t="s">
        <v>771</v>
      </c>
      <c r="C152" s="88" t="s">
        <v>321</v>
      </c>
      <c r="D152" s="88" t="s">
        <v>219</v>
      </c>
      <c r="E152" s="88" t="s">
        <v>224</v>
      </c>
      <c r="F152" s="88" t="s">
        <v>13</v>
      </c>
      <c r="G152" s="15" t="s">
        <v>1865</v>
      </c>
      <c r="H152" s="93">
        <v>14510</v>
      </c>
      <c r="I152" s="87"/>
      <c r="J152" s="86"/>
      <c r="M152" s="115">
        <v>13.5</v>
      </c>
    </row>
    <row r="153" spans="1:13" s="89" customFormat="1" ht="30" customHeight="1" x14ac:dyDescent="0.3">
      <c r="A153" s="153"/>
      <c r="B153" s="124" t="s">
        <v>1850</v>
      </c>
      <c r="C153" s="122" t="s">
        <v>723</v>
      </c>
      <c r="D153" s="122" t="s">
        <v>724</v>
      </c>
      <c r="E153" s="122" t="s">
        <v>224</v>
      </c>
      <c r="F153" s="122" t="s">
        <v>13</v>
      </c>
      <c r="G153" s="15" t="s">
        <v>1865</v>
      </c>
      <c r="H153" s="93">
        <v>12150</v>
      </c>
      <c r="I153" s="87"/>
      <c r="J153" s="86"/>
      <c r="M153" s="115">
        <v>12.6</v>
      </c>
    </row>
    <row r="154" spans="1:13" s="89" customFormat="1" ht="30" customHeight="1" x14ac:dyDescent="0.3">
      <c r="A154" s="153"/>
      <c r="B154" s="125" t="s">
        <v>772</v>
      </c>
      <c r="C154" s="88" t="s">
        <v>723</v>
      </c>
      <c r="D154" s="88" t="s">
        <v>724</v>
      </c>
      <c r="E154" s="88" t="s">
        <v>224</v>
      </c>
      <c r="F154" s="88" t="s">
        <v>13</v>
      </c>
      <c r="G154" s="15" t="s">
        <v>1865</v>
      </c>
      <c r="H154" s="93">
        <v>13570</v>
      </c>
      <c r="I154" s="87"/>
      <c r="J154" s="86"/>
      <c r="L154" s="12" t="s">
        <v>1804</v>
      </c>
      <c r="M154" s="115"/>
    </row>
    <row r="155" spans="1:13" s="89" customFormat="1" ht="30" customHeight="1" x14ac:dyDescent="0.3">
      <c r="A155" s="153"/>
      <c r="B155" s="125" t="s">
        <v>773</v>
      </c>
      <c r="C155" s="88" t="s">
        <v>723</v>
      </c>
      <c r="D155" s="88" t="s">
        <v>724</v>
      </c>
      <c r="E155" s="88" t="s">
        <v>224</v>
      </c>
      <c r="F155" s="88" t="s">
        <v>13</v>
      </c>
      <c r="G155" s="15" t="s">
        <v>1865</v>
      </c>
      <c r="H155" s="93">
        <v>15360</v>
      </c>
      <c r="I155" s="87"/>
      <c r="J155" s="86"/>
      <c r="M155" s="115"/>
    </row>
    <row r="156" spans="1:13" s="89" customFormat="1" ht="30" customHeight="1" x14ac:dyDescent="0.3">
      <c r="A156" s="153"/>
      <c r="B156" s="125" t="s">
        <v>774</v>
      </c>
      <c r="C156" s="88" t="s">
        <v>723</v>
      </c>
      <c r="D156" s="88" t="s">
        <v>724</v>
      </c>
      <c r="E156" s="88" t="s">
        <v>224</v>
      </c>
      <c r="F156" s="88" t="s">
        <v>13</v>
      </c>
      <c r="G156" s="15" t="s">
        <v>1865</v>
      </c>
      <c r="H156" s="93">
        <v>14510</v>
      </c>
      <c r="I156" s="87"/>
      <c r="J156" s="86"/>
      <c r="M156" s="115">
        <v>13.5</v>
      </c>
    </row>
    <row r="157" spans="1:13" s="89" customFormat="1" ht="30" customHeight="1" x14ac:dyDescent="0.3">
      <c r="A157" s="153"/>
      <c r="B157" s="124" t="s">
        <v>1851</v>
      </c>
      <c r="C157" s="122" t="s">
        <v>778</v>
      </c>
      <c r="D157" s="122" t="s">
        <v>726</v>
      </c>
      <c r="E157" s="122" t="s">
        <v>224</v>
      </c>
      <c r="F157" s="122" t="s">
        <v>13</v>
      </c>
      <c r="G157" s="15" t="s">
        <v>1865</v>
      </c>
      <c r="H157" s="93">
        <v>12150</v>
      </c>
      <c r="I157" s="87"/>
      <c r="J157" s="86"/>
      <c r="M157" s="115">
        <v>12.6</v>
      </c>
    </row>
    <row r="158" spans="1:13" s="89" customFormat="1" ht="30" customHeight="1" x14ac:dyDescent="0.3">
      <c r="A158" s="153"/>
      <c r="B158" s="125" t="s">
        <v>775</v>
      </c>
      <c r="C158" s="88" t="s">
        <v>778</v>
      </c>
      <c r="D158" s="88" t="s">
        <v>726</v>
      </c>
      <c r="E158" s="88" t="s">
        <v>224</v>
      </c>
      <c r="F158" s="88" t="s">
        <v>13</v>
      </c>
      <c r="G158" s="15" t="s">
        <v>1865</v>
      </c>
      <c r="H158" s="93">
        <v>13570</v>
      </c>
      <c r="I158" s="87"/>
      <c r="J158" s="86"/>
      <c r="L158" s="12" t="s">
        <v>1804</v>
      </c>
      <c r="M158" s="115"/>
    </row>
    <row r="159" spans="1:13" s="89" customFormat="1" ht="30" customHeight="1" x14ac:dyDescent="0.3">
      <c r="A159" s="153"/>
      <c r="B159" s="125" t="s">
        <v>776</v>
      </c>
      <c r="C159" s="88" t="s">
        <v>778</v>
      </c>
      <c r="D159" s="88" t="s">
        <v>726</v>
      </c>
      <c r="E159" s="88" t="s">
        <v>224</v>
      </c>
      <c r="F159" s="88" t="s">
        <v>13</v>
      </c>
      <c r="G159" s="15" t="s">
        <v>1865</v>
      </c>
      <c r="H159" s="93">
        <v>15360</v>
      </c>
      <c r="I159" s="87"/>
      <c r="J159" s="86"/>
      <c r="M159" s="115"/>
    </row>
    <row r="160" spans="1:13" s="89" customFormat="1" ht="30" customHeight="1" x14ac:dyDescent="0.3">
      <c r="A160" s="154"/>
      <c r="B160" s="125" t="s">
        <v>777</v>
      </c>
      <c r="C160" s="88" t="s">
        <v>778</v>
      </c>
      <c r="D160" s="88" t="s">
        <v>726</v>
      </c>
      <c r="E160" s="88" t="s">
        <v>224</v>
      </c>
      <c r="F160" s="88" t="s">
        <v>13</v>
      </c>
      <c r="G160" s="15" t="s">
        <v>1865</v>
      </c>
      <c r="H160" s="93">
        <v>14510</v>
      </c>
      <c r="I160" s="87"/>
      <c r="J160" s="86"/>
      <c r="M160" s="115">
        <v>13.5</v>
      </c>
    </row>
    <row r="161" spans="1:13" ht="20.100000000000001" customHeight="1" x14ac:dyDescent="0.3">
      <c r="A161" s="149"/>
      <c r="B161" s="149"/>
      <c r="C161" s="149"/>
      <c r="D161" s="149"/>
      <c r="E161" s="149"/>
      <c r="F161" s="149"/>
      <c r="G161" s="149"/>
      <c r="H161" s="149"/>
      <c r="I161" s="149"/>
      <c r="J161" s="149"/>
    </row>
    <row r="162" spans="1:13" ht="39.9" customHeight="1" x14ac:dyDescent="0.3">
      <c r="A162" s="139" t="s">
        <v>1474</v>
      </c>
      <c r="B162" s="140"/>
      <c r="C162" s="140"/>
      <c r="D162" s="140"/>
      <c r="E162" s="140"/>
      <c r="F162" s="140"/>
      <c r="G162" s="140"/>
      <c r="H162" s="140"/>
      <c r="I162" s="140"/>
      <c r="J162" s="140"/>
    </row>
    <row r="163" spans="1:13" ht="30" customHeight="1" x14ac:dyDescent="0.3">
      <c r="A163" s="5"/>
      <c r="B163" s="3" t="s">
        <v>2</v>
      </c>
      <c r="C163" s="4" t="s">
        <v>42</v>
      </c>
      <c r="D163" s="4" t="s">
        <v>43</v>
      </c>
      <c r="E163" s="3" t="s">
        <v>9</v>
      </c>
      <c r="F163" s="3" t="s">
        <v>10</v>
      </c>
      <c r="G163" s="4" t="s">
        <v>11</v>
      </c>
      <c r="H163" s="4" t="s">
        <v>17</v>
      </c>
      <c r="I163" s="4"/>
      <c r="J163" s="4"/>
    </row>
    <row r="164" spans="1:13" ht="30" customHeight="1" x14ac:dyDescent="0.3">
      <c r="A164" s="152"/>
      <c r="B164" s="38" t="s">
        <v>1852</v>
      </c>
      <c r="C164" s="122" t="s">
        <v>723</v>
      </c>
      <c r="D164" s="122" t="s">
        <v>724</v>
      </c>
      <c r="E164" s="122" t="s">
        <v>224</v>
      </c>
      <c r="F164" s="122" t="s">
        <v>13</v>
      </c>
      <c r="G164" s="15" t="s">
        <v>789</v>
      </c>
      <c r="H164" s="93">
        <v>21910</v>
      </c>
      <c r="I164" s="87"/>
      <c r="J164" s="86"/>
    </row>
    <row r="165" spans="1:13" s="89" customFormat="1" ht="30" customHeight="1" x14ac:dyDescent="0.3">
      <c r="A165" s="153"/>
      <c r="B165" s="32" t="s">
        <v>779</v>
      </c>
      <c r="C165" s="88" t="s">
        <v>723</v>
      </c>
      <c r="D165" s="88" t="s">
        <v>724</v>
      </c>
      <c r="E165" s="88" t="s">
        <v>224</v>
      </c>
      <c r="F165" s="88" t="s">
        <v>13</v>
      </c>
      <c r="G165" s="15" t="s">
        <v>789</v>
      </c>
      <c r="H165" s="93">
        <v>23100</v>
      </c>
      <c r="I165" s="87"/>
      <c r="J165" s="86"/>
      <c r="M165" s="115" t="s">
        <v>1726</v>
      </c>
    </row>
    <row r="166" spans="1:13" s="89" customFormat="1" ht="30" customHeight="1" x14ac:dyDescent="0.3">
      <c r="A166" s="153"/>
      <c r="B166" s="32" t="s">
        <v>780</v>
      </c>
      <c r="C166" s="88" t="s">
        <v>723</v>
      </c>
      <c r="D166" s="88" t="s">
        <v>724</v>
      </c>
      <c r="E166" s="88" t="s">
        <v>224</v>
      </c>
      <c r="F166" s="88" t="s">
        <v>13</v>
      </c>
      <c r="G166" s="15" t="s">
        <v>789</v>
      </c>
      <c r="H166" s="93">
        <v>23710</v>
      </c>
      <c r="I166" s="87"/>
      <c r="J166" s="86"/>
      <c r="M166" s="115" t="s">
        <v>1726</v>
      </c>
    </row>
    <row r="167" spans="1:13" s="89" customFormat="1" ht="30" customHeight="1" x14ac:dyDescent="0.3">
      <c r="A167" s="153"/>
      <c r="B167" s="38" t="s">
        <v>1853</v>
      </c>
      <c r="C167" s="122" t="s">
        <v>725</v>
      </c>
      <c r="D167" s="122" t="s">
        <v>726</v>
      </c>
      <c r="E167" s="122" t="s">
        <v>224</v>
      </c>
      <c r="F167" s="122" t="s">
        <v>13</v>
      </c>
      <c r="G167" s="15" t="s">
        <v>789</v>
      </c>
      <c r="H167" s="93">
        <v>21910</v>
      </c>
      <c r="I167" s="87"/>
      <c r="J167" s="86"/>
      <c r="M167" s="115"/>
    </row>
    <row r="168" spans="1:13" s="89" customFormat="1" ht="30" customHeight="1" x14ac:dyDescent="0.3">
      <c r="A168" s="153"/>
      <c r="B168" s="32" t="s">
        <v>781</v>
      </c>
      <c r="C168" s="88" t="s">
        <v>725</v>
      </c>
      <c r="D168" s="88" t="s">
        <v>726</v>
      </c>
      <c r="E168" s="88" t="s">
        <v>224</v>
      </c>
      <c r="F168" s="88" t="s">
        <v>13</v>
      </c>
      <c r="G168" s="15" t="s">
        <v>789</v>
      </c>
      <c r="H168" s="93">
        <v>23100</v>
      </c>
      <c r="I168" s="87"/>
      <c r="J168" s="86"/>
      <c r="M168" s="115" t="s">
        <v>1726</v>
      </c>
    </row>
    <row r="169" spans="1:13" s="89" customFormat="1" ht="30" customHeight="1" x14ac:dyDescent="0.3">
      <c r="A169" s="153"/>
      <c r="B169" s="32" t="s">
        <v>782</v>
      </c>
      <c r="C169" s="88" t="s">
        <v>725</v>
      </c>
      <c r="D169" s="88" t="s">
        <v>726</v>
      </c>
      <c r="E169" s="88" t="s">
        <v>224</v>
      </c>
      <c r="F169" s="88" t="s">
        <v>13</v>
      </c>
      <c r="G169" s="15" t="s">
        <v>789</v>
      </c>
      <c r="H169" s="93">
        <v>23710</v>
      </c>
      <c r="I169" s="87"/>
      <c r="J169" s="86"/>
      <c r="M169" s="115" t="s">
        <v>1726</v>
      </c>
    </row>
    <row r="170" spans="1:13" s="89" customFormat="1" ht="30" customHeight="1" x14ac:dyDescent="0.3">
      <c r="A170" s="153"/>
      <c r="B170" s="38" t="s">
        <v>1854</v>
      </c>
      <c r="C170" s="122" t="s">
        <v>727</v>
      </c>
      <c r="D170" s="122" t="s">
        <v>728</v>
      </c>
      <c r="E170" s="122" t="s">
        <v>224</v>
      </c>
      <c r="F170" s="122" t="s">
        <v>13</v>
      </c>
      <c r="G170" s="15" t="s">
        <v>789</v>
      </c>
      <c r="H170" s="93">
        <v>21910</v>
      </c>
      <c r="I170" s="87"/>
      <c r="J170" s="86"/>
      <c r="M170" s="115"/>
    </row>
    <row r="171" spans="1:13" s="89" customFormat="1" ht="30" customHeight="1" x14ac:dyDescent="0.3">
      <c r="A171" s="153"/>
      <c r="B171" s="32" t="s">
        <v>783</v>
      </c>
      <c r="C171" s="88" t="s">
        <v>727</v>
      </c>
      <c r="D171" s="88" t="s">
        <v>728</v>
      </c>
      <c r="E171" s="88" t="s">
        <v>224</v>
      </c>
      <c r="F171" s="88" t="s">
        <v>13</v>
      </c>
      <c r="G171" s="15" t="s">
        <v>789</v>
      </c>
      <c r="H171" s="93">
        <v>23100</v>
      </c>
      <c r="I171" s="87"/>
      <c r="J171" s="86"/>
      <c r="M171" s="115" t="s">
        <v>1726</v>
      </c>
    </row>
    <row r="172" spans="1:13" s="89" customFormat="1" ht="30" customHeight="1" x14ac:dyDescent="0.3">
      <c r="A172" s="153"/>
      <c r="B172" s="32" t="s">
        <v>784</v>
      </c>
      <c r="C172" s="88" t="s">
        <v>727</v>
      </c>
      <c r="D172" s="88" t="s">
        <v>728</v>
      </c>
      <c r="E172" s="88" t="s">
        <v>224</v>
      </c>
      <c r="F172" s="88" t="s">
        <v>13</v>
      </c>
      <c r="G172" s="15" t="s">
        <v>789</v>
      </c>
      <c r="H172" s="93">
        <v>23710</v>
      </c>
      <c r="I172" s="87"/>
      <c r="J172" s="86"/>
      <c r="M172" s="115" t="s">
        <v>1726</v>
      </c>
    </row>
    <row r="173" spans="1:13" s="89" customFormat="1" ht="30" customHeight="1" x14ac:dyDescent="0.3">
      <c r="A173" s="153"/>
      <c r="B173" s="38" t="s">
        <v>1855</v>
      </c>
      <c r="C173" s="122" t="s">
        <v>787</v>
      </c>
      <c r="D173" s="122" t="s">
        <v>788</v>
      </c>
      <c r="E173" s="122" t="s">
        <v>224</v>
      </c>
      <c r="F173" s="122" t="s">
        <v>13</v>
      </c>
      <c r="G173" s="15" t="s">
        <v>789</v>
      </c>
      <c r="H173" s="93">
        <v>21910</v>
      </c>
      <c r="I173" s="87"/>
      <c r="J173" s="86"/>
      <c r="M173" s="115"/>
    </row>
    <row r="174" spans="1:13" s="89" customFormat="1" ht="30" customHeight="1" x14ac:dyDescent="0.3">
      <c r="A174" s="153"/>
      <c r="B174" s="32" t="s">
        <v>785</v>
      </c>
      <c r="C174" s="88" t="s">
        <v>787</v>
      </c>
      <c r="D174" s="88" t="s">
        <v>788</v>
      </c>
      <c r="E174" s="88" t="s">
        <v>224</v>
      </c>
      <c r="F174" s="88" t="s">
        <v>13</v>
      </c>
      <c r="G174" s="15" t="s">
        <v>789</v>
      </c>
      <c r="H174" s="93">
        <v>23100</v>
      </c>
      <c r="I174" s="87"/>
      <c r="J174" s="86"/>
      <c r="M174" s="115" t="s">
        <v>1726</v>
      </c>
    </row>
    <row r="175" spans="1:13" s="89" customFormat="1" ht="30" customHeight="1" x14ac:dyDescent="0.3">
      <c r="A175" s="154"/>
      <c r="B175" s="32" t="s">
        <v>786</v>
      </c>
      <c r="C175" s="88" t="s">
        <v>787</v>
      </c>
      <c r="D175" s="88" t="s">
        <v>788</v>
      </c>
      <c r="E175" s="88" t="s">
        <v>224</v>
      </c>
      <c r="F175" s="88" t="s">
        <v>13</v>
      </c>
      <c r="G175" s="15" t="s">
        <v>789</v>
      </c>
      <c r="H175" s="93">
        <v>23710</v>
      </c>
      <c r="I175" s="87"/>
      <c r="J175" s="86"/>
      <c r="M175" s="115" t="s">
        <v>1726</v>
      </c>
    </row>
    <row r="176" spans="1:13" ht="20.100000000000001" customHeight="1" x14ac:dyDescent="0.3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</row>
    <row r="177" spans="1:13" ht="39.9" customHeight="1" x14ac:dyDescent="0.3">
      <c r="A177" s="139" t="s">
        <v>1476</v>
      </c>
      <c r="B177" s="140"/>
      <c r="C177" s="140"/>
      <c r="D177" s="140"/>
      <c r="E177" s="140"/>
      <c r="F177" s="140"/>
      <c r="G177" s="140"/>
      <c r="H177" s="140"/>
      <c r="I177" s="140"/>
      <c r="J177" s="140"/>
    </row>
    <row r="178" spans="1:13" ht="30" customHeight="1" x14ac:dyDescent="0.3">
      <c r="A178" s="5"/>
      <c r="B178" s="3" t="s">
        <v>2</v>
      </c>
      <c r="C178" s="4" t="s">
        <v>42</v>
      </c>
      <c r="D178" s="4" t="s">
        <v>43</v>
      </c>
      <c r="E178" s="3" t="s">
        <v>9</v>
      </c>
      <c r="F178" s="3" t="s">
        <v>10</v>
      </c>
      <c r="G178" s="4" t="s">
        <v>11</v>
      </c>
      <c r="H178" s="4" t="s">
        <v>17</v>
      </c>
      <c r="I178" s="4" t="s">
        <v>12</v>
      </c>
      <c r="J178" s="4" t="s">
        <v>18</v>
      </c>
    </row>
    <row r="179" spans="1:13" s="89" customFormat="1" ht="120" customHeight="1" x14ac:dyDescent="0.3">
      <c r="A179" s="88"/>
      <c r="B179" s="32" t="s">
        <v>790</v>
      </c>
      <c r="C179" s="88" t="s">
        <v>791</v>
      </c>
      <c r="D179" s="88" t="s">
        <v>471</v>
      </c>
      <c r="E179" s="88" t="s">
        <v>224</v>
      </c>
      <c r="F179" s="88" t="s">
        <v>13</v>
      </c>
      <c r="G179" s="15" t="s">
        <v>792</v>
      </c>
      <c r="H179" s="93">
        <v>8380</v>
      </c>
      <c r="I179" s="87"/>
      <c r="J179" s="86"/>
      <c r="M179" s="115"/>
    </row>
    <row r="180" spans="1:13" ht="20.100000000000001" customHeight="1" x14ac:dyDescent="0.3">
      <c r="A180" s="149"/>
      <c r="B180" s="149"/>
      <c r="C180" s="149"/>
      <c r="D180" s="149"/>
      <c r="E180" s="149"/>
      <c r="F180" s="149"/>
      <c r="G180" s="149"/>
      <c r="H180" s="149"/>
      <c r="I180" s="149"/>
      <c r="J180" s="149"/>
    </row>
    <row r="181" spans="1:13" ht="39.9" customHeight="1" x14ac:dyDescent="0.3">
      <c r="A181" s="139" t="s">
        <v>1475</v>
      </c>
      <c r="B181" s="140"/>
      <c r="C181" s="140"/>
      <c r="D181" s="140"/>
      <c r="E181" s="140"/>
      <c r="F181" s="140"/>
      <c r="G181" s="140"/>
      <c r="H181" s="140"/>
      <c r="I181" s="140"/>
      <c r="J181" s="140"/>
    </row>
    <row r="182" spans="1:13" ht="30" customHeight="1" x14ac:dyDescent="0.3">
      <c r="A182" s="5"/>
      <c r="B182" s="3" t="s">
        <v>2</v>
      </c>
      <c r="C182" s="4" t="s">
        <v>42</v>
      </c>
      <c r="D182" s="4" t="s">
        <v>43</v>
      </c>
      <c r="E182" s="3" t="s">
        <v>9</v>
      </c>
      <c r="F182" s="3" t="s">
        <v>10</v>
      </c>
      <c r="G182" s="4" t="s">
        <v>11</v>
      </c>
      <c r="H182" s="4" t="s">
        <v>17</v>
      </c>
      <c r="I182" s="4"/>
      <c r="J182" s="4"/>
    </row>
    <row r="183" spans="1:13" s="89" customFormat="1" ht="39.9" customHeight="1" x14ac:dyDescent="0.3">
      <c r="A183" s="138"/>
      <c r="B183" s="32" t="s">
        <v>793</v>
      </c>
      <c r="C183" s="88" t="s">
        <v>715</v>
      </c>
      <c r="D183" s="88" t="s">
        <v>1559</v>
      </c>
      <c r="E183" s="88" t="s">
        <v>224</v>
      </c>
      <c r="F183" s="88" t="s">
        <v>13</v>
      </c>
      <c r="G183" s="15" t="s">
        <v>796</v>
      </c>
      <c r="H183" s="93">
        <v>13800</v>
      </c>
      <c r="I183" s="87"/>
      <c r="J183" s="86"/>
      <c r="M183" s="115"/>
    </row>
    <row r="184" spans="1:13" s="89" customFormat="1" ht="39.9" customHeight="1" x14ac:dyDescent="0.3">
      <c r="A184" s="138"/>
      <c r="B184" s="32" t="s">
        <v>794</v>
      </c>
      <c r="C184" s="88" t="s">
        <v>715</v>
      </c>
      <c r="D184" s="99" t="s">
        <v>1559</v>
      </c>
      <c r="E184" s="88" t="s">
        <v>224</v>
      </c>
      <c r="F184" s="88" t="s">
        <v>13</v>
      </c>
      <c r="G184" s="15" t="s">
        <v>796</v>
      </c>
      <c r="H184" s="93">
        <v>15300</v>
      </c>
      <c r="I184" s="87"/>
      <c r="J184" s="86"/>
      <c r="L184" s="12" t="s">
        <v>1798</v>
      </c>
      <c r="M184" s="115"/>
    </row>
    <row r="185" spans="1:13" s="89" customFormat="1" ht="39.9" customHeight="1" x14ac:dyDescent="0.3">
      <c r="A185" s="138"/>
      <c r="B185" s="32" t="s">
        <v>795</v>
      </c>
      <c r="C185" s="88" t="s">
        <v>715</v>
      </c>
      <c r="D185" s="99" t="s">
        <v>1559</v>
      </c>
      <c r="E185" s="88" t="s">
        <v>224</v>
      </c>
      <c r="F185" s="88" t="s">
        <v>13</v>
      </c>
      <c r="G185" s="15" t="s">
        <v>796</v>
      </c>
      <c r="H185" s="93">
        <v>14700</v>
      </c>
      <c r="I185" s="87"/>
      <c r="J185" s="86"/>
      <c r="L185" s="12" t="s">
        <v>1816</v>
      </c>
      <c r="M185" s="115"/>
    </row>
    <row r="186" spans="1:13" ht="20.100000000000001" customHeight="1" x14ac:dyDescent="0.3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</row>
    <row r="187" spans="1:13" ht="39.9" customHeight="1" x14ac:dyDescent="0.3">
      <c r="A187" s="139" t="s">
        <v>1477</v>
      </c>
      <c r="B187" s="140"/>
      <c r="C187" s="140"/>
      <c r="D187" s="140"/>
      <c r="E187" s="140"/>
      <c r="F187" s="140"/>
      <c r="G187" s="140"/>
      <c r="H187" s="140"/>
      <c r="I187" s="140"/>
      <c r="J187" s="140"/>
    </row>
    <row r="188" spans="1:13" ht="30" customHeight="1" x14ac:dyDescent="0.3">
      <c r="A188" s="5"/>
      <c r="B188" s="3" t="s">
        <v>2</v>
      </c>
      <c r="C188" s="4" t="s">
        <v>42</v>
      </c>
      <c r="D188" s="4" t="s">
        <v>43</v>
      </c>
      <c r="E188" s="3" t="s">
        <v>9</v>
      </c>
      <c r="F188" s="3" t="s">
        <v>10</v>
      </c>
      <c r="G188" s="4" t="s">
        <v>11</v>
      </c>
      <c r="H188" s="4" t="s">
        <v>17</v>
      </c>
      <c r="I188" s="4"/>
      <c r="J188" s="4"/>
    </row>
    <row r="189" spans="1:13" s="89" customFormat="1" ht="24.9" customHeight="1" x14ac:dyDescent="0.3">
      <c r="A189" s="138"/>
      <c r="B189" s="32" t="s">
        <v>797</v>
      </c>
      <c r="C189" s="88" t="s">
        <v>807</v>
      </c>
      <c r="D189" s="88" t="s">
        <v>195</v>
      </c>
      <c r="E189" s="88" t="s">
        <v>224</v>
      </c>
      <c r="F189" s="88" t="s">
        <v>13</v>
      </c>
      <c r="G189" s="15" t="s">
        <v>815</v>
      </c>
      <c r="H189" s="93">
        <v>44670</v>
      </c>
      <c r="I189" s="87"/>
      <c r="J189" s="86"/>
      <c r="M189" s="115"/>
    </row>
    <row r="190" spans="1:13" s="89" customFormat="1" ht="24.9" customHeight="1" x14ac:dyDescent="0.3">
      <c r="A190" s="138"/>
      <c r="B190" s="32" t="s">
        <v>798</v>
      </c>
      <c r="C190" s="88" t="s">
        <v>808</v>
      </c>
      <c r="D190" s="88" t="s">
        <v>211</v>
      </c>
      <c r="E190" s="88" t="s">
        <v>224</v>
      </c>
      <c r="F190" s="88" t="s">
        <v>13</v>
      </c>
      <c r="G190" s="15" t="s">
        <v>815</v>
      </c>
      <c r="H190" s="93">
        <v>44670</v>
      </c>
      <c r="I190" s="87"/>
      <c r="J190" s="86"/>
      <c r="M190" s="115"/>
    </row>
    <row r="191" spans="1:13" s="89" customFormat="1" ht="24.9" customHeight="1" x14ac:dyDescent="0.3">
      <c r="A191" s="138"/>
      <c r="B191" s="32" t="s">
        <v>799</v>
      </c>
      <c r="C191" s="88" t="s">
        <v>809</v>
      </c>
      <c r="D191" s="88" t="s">
        <v>483</v>
      </c>
      <c r="E191" s="88" t="s">
        <v>224</v>
      </c>
      <c r="F191" s="88" t="s">
        <v>13</v>
      </c>
      <c r="G191" s="15" t="s">
        <v>815</v>
      </c>
      <c r="H191" s="93">
        <v>46450</v>
      </c>
      <c r="I191" s="87"/>
      <c r="J191" s="86"/>
      <c r="M191" s="115"/>
    </row>
    <row r="192" spans="1:13" s="89" customFormat="1" ht="24.9" customHeight="1" x14ac:dyDescent="0.3">
      <c r="A192" s="138"/>
      <c r="B192" s="32" t="s">
        <v>800</v>
      </c>
      <c r="C192" s="88" t="s">
        <v>810</v>
      </c>
      <c r="D192" s="88" t="s">
        <v>483</v>
      </c>
      <c r="E192" s="88" t="s">
        <v>224</v>
      </c>
      <c r="F192" s="88" t="s">
        <v>13</v>
      </c>
      <c r="G192" s="15" t="s">
        <v>815</v>
      </c>
      <c r="H192" s="93">
        <v>49420</v>
      </c>
      <c r="I192" s="87"/>
      <c r="J192" s="86"/>
      <c r="M192" s="115"/>
    </row>
    <row r="193" spans="1:13" s="89" customFormat="1" ht="24.9" customHeight="1" x14ac:dyDescent="0.3">
      <c r="A193" s="138"/>
      <c r="B193" s="32" t="s">
        <v>801</v>
      </c>
      <c r="C193" s="88" t="s">
        <v>811</v>
      </c>
      <c r="D193" s="88" t="s">
        <v>484</v>
      </c>
      <c r="E193" s="88" t="s">
        <v>224</v>
      </c>
      <c r="F193" s="88" t="s">
        <v>13</v>
      </c>
      <c r="G193" s="15" t="s">
        <v>815</v>
      </c>
      <c r="H193" s="93">
        <v>61100</v>
      </c>
      <c r="I193" s="87"/>
      <c r="J193" s="86"/>
      <c r="M193" s="115"/>
    </row>
    <row r="194" spans="1:13" s="89" customFormat="1" ht="24.9" customHeight="1" x14ac:dyDescent="0.3">
      <c r="A194" s="138"/>
      <c r="B194" s="32" t="s">
        <v>802</v>
      </c>
      <c r="C194" s="88" t="s">
        <v>812</v>
      </c>
      <c r="D194" s="88" t="s">
        <v>484</v>
      </c>
      <c r="E194" s="88" t="s">
        <v>224</v>
      </c>
      <c r="F194" s="88" t="s">
        <v>13</v>
      </c>
      <c r="G194" s="15" t="s">
        <v>815</v>
      </c>
      <c r="H194" s="93">
        <v>78180</v>
      </c>
      <c r="I194" s="87"/>
      <c r="J194" s="86"/>
      <c r="M194" s="115"/>
    </row>
    <row r="195" spans="1:13" s="89" customFormat="1" ht="24.9" customHeight="1" x14ac:dyDescent="0.3">
      <c r="A195" s="138"/>
      <c r="B195" s="32" t="s">
        <v>803</v>
      </c>
      <c r="C195" s="88" t="s">
        <v>813</v>
      </c>
      <c r="D195" s="88" t="s">
        <v>220</v>
      </c>
      <c r="E195" s="88" t="s">
        <v>224</v>
      </c>
      <c r="F195" s="88" t="s">
        <v>13</v>
      </c>
      <c r="G195" s="15" t="s">
        <v>815</v>
      </c>
      <c r="H195" s="93">
        <v>84670</v>
      </c>
      <c r="I195" s="87"/>
      <c r="J195" s="86"/>
      <c r="M195" s="115"/>
    </row>
    <row r="196" spans="1:13" s="89" customFormat="1" ht="24.9" customHeight="1" x14ac:dyDescent="0.3">
      <c r="A196" s="138"/>
      <c r="B196" s="32" t="s">
        <v>804</v>
      </c>
      <c r="C196" s="88" t="s">
        <v>811</v>
      </c>
      <c r="D196" s="88" t="s">
        <v>484</v>
      </c>
      <c r="E196" s="88" t="s">
        <v>224</v>
      </c>
      <c r="F196" s="88" t="s">
        <v>13</v>
      </c>
      <c r="G196" s="15" t="s">
        <v>815</v>
      </c>
      <c r="H196" s="93">
        <v>85270</v>
      </c>
      <c r="I196" s="87"/>
      <c r="J196" s="86"/>
      <c r="M196" s="115"/>
    </row>
    <row r="197" spans="1:13" s="89" customFormat="1" ht="24.9" customHeight="1" x14ac:dyDescent="0.3">
      <c r="A197" s="138"/>
      <c r="B197" s="32" t="s">
        <v>805</v>
      </c>
      <c r="C197" s="88" t="s">
        <v>813</v>
      </c>
      <c r="D197" s="88" t="s">
        <v>220</v>
      </c>
      <c r="E197" s="88" t="s">
        <v>224</v>
      </c>
      <c r="F197" s="88" t="s">
        <v>13</v>
      </c>
      <c r="G197" s="15" t="s">
        <v>815</v>
      </c>
      <c r="H197" s="93">
        <v>108980</v>
      </c>
      <c r="I197" s="87"/>
      <c r="J197" s="86"/>
      <c r="M197" s="115"/>
    </row>
    <row r="198" spans="1:13" s="89" customFormat="1" ht="24.9" customHeight="1" x14ac:dyDescent="0.3">
      <c r="A198" s="138"/>
      <c r="B198" s="32" t="s">
        <v>806</v>
      </c>
      <c r="C198" s="88" t="s">
        <v>814</v>
      </c>
      <c r="D198" s="88" t="s">
        <v>220</v>
      </c>
      <c r="E198" s="88" t="s">
        <v>224</v>
      </c>
      <c r="F198" s="88" t="s">
        <v>13</v>
      </c>
      <c r="G198" s="15" t="s">
        <v>815</v>
      </c>
      <c r="H198" s="93">
        <v>130400</v>
      </c>
      <c r="I198" s="87"/>
      <c r="J198" s="86"/>
      <c r="M198" s="115"/>
    </row>
    <row r="199" spans="1:13" ht="20.100000000000001" customHeight="1" x14ac:dyDescent="0.3">
      <c r="A199" s="149"/>
      <c r="B199" s="149"/>
      <c r="C199" s="149"/>
      <c r="D199" s="149"/>
      <c r="E199" s="149"/>
      <c r="F199" s="149"/>
      <c r="G199" s="149"/>
      <c r="H199" s="149"/>
      <c r="I199" s="149"/>
      <c r="J199" s="149"/>
    </row>
    <row r="200" spans="1:13" ht="39.9" customHeight="1" x14ac:dyDescent="0.3">
      <c r="A200" s="139" t="s">
        <v>1693</v>
      </c>
      <c r="B200" s="140"/>
      <c r="C200" s="140"/>
      <c r="D200" s="140"/>
      <c r="E200" s="140"/>
      <c r="F200" s="140"/>
      <c r="G200" s="140"/>
      <c r="H200" s="140"/>
      <c r="I200" s="140"/>
      <c r="J200" s="140"/>
    </row>
    <row r="201" spans="1:13" ht="30" customHeight="1" x14ac:dyDescent="0.3">
      <c r="A201" s="107"/>
      <c r="B201" s="38" t="s">
        <v>2</v>
      </c>
      <c r="C201" s="4" t="s">
        <v>42</v>
      </c>
      <c r="D201" s="4" t="s">
        <v>43</v>
      </c>
      <c r="E201" s="38" t="s">
        <v>9</v>
      </c>
      <c r="F201" s="38" t="s">
        <v>10</v>
      </c>
      <c r="G201" s="4" t="s">
        <v>11</v>
      </c>
      <c r="H201" s="4" t="s">
        <v>17</v>
      </c>
      <c r="I201" s="4"/>
      <c r="J201" s="4"/>
    </row>
    <row r="202" spans="1:13" s="89" customFormat="1" ht="20.100000000000001" customHeight="1" x14ac:dyDescent="0.3">
      <c r="A202" s="179"/>
      <c r="B202" s="100" t="s">
        <v>1868</v>
      </c>
      <c r="C202" s="90" t="s">
        <v>710</v>
      </c>
      <c r="D202" s="90" t="s">
        <v>716</v>
      </c>
      <c r="E202" s="106" t="s">
        <v>224</v>
      </c>
      <c r="F202" s="106" t="s">
        <v>13</v>
      </c>
      <c r="G202" s="90" t="s">
        <v>821</v>
      </c>
      <c r="H202" s="61">
        <v>43450</v>
      </c>
      <c r="I202" s="87"/>
      <c r="J202" s="96"/>
      <c r="M202" s="115"/>
    </row>
    <row r="203" spans="1:13" s="89" customFormat="1" ht="20.100000000000001" customHeight="1" x14ac:dyDescent="0.3">
      <c r="A203" s="180"/>
      <c r="B203" s="100" t="s">
        <v>1869</v>
      </c>
      <c r="C203" s="90" t="s">
        <v>808</v>
      </c>
      <c r="D203" s="90" t="s">
        <v>195</v>
      </c>
      <c r="E203" s="106" t="s">
        <v>224</v>
      </c>
      <c r="F203" s="106" t="s">
        <v>13</v>
      </c>
      <c r="G203" s="90" t="s">
        <v>821</v>
      </c>
      <c r="H203" s="61">
        <v>43450</v>
      </c>
      <c r="I203" s="87"/>
      <c r="J203" s="96"/>
      <c r="M203" s="115"/>
    </row>
    <row r="204" spans="1:13" s="89" customFormat="1" ht="20.100000000000001" customHeight="1" x14ac:dyDescent="0.3">
      <c r="A204" s="180"/>
      <c r="B204" s="100" t="s">
        <v>1870</v>
      </c>
      <c r="C204" s="90" t="s">
        <v>710</v>
      </c>
      <c r="D204" s="90" t="s">
        <v>716</v>
      </c>
      <c r="E204" s="106" t="s">
        <v>224</v>
      </c>
      <c r="F204" s="106" t="s">
        <v>13</v>
      </c>
      <c r="G204" s="90" t="s">
        <v>1478</v>
      </c>
      <c r="H204" s="61">
        <v>48450</v>
      </c>
      <c r="I204" s="87"/>
      <c r="J204" s="96"/>
      <c r="M204" s="115"/>
    </row>
    <row r="205" spans="1:13" s="89" customFormat="1" ht="20.100000000000001" customHeight="1" x14ac:dyDescent="0.3">
      <c r="A205" s="180"/>
      <c r="B205" s="100" t="s">
        <v>1871</v>
      </c>
      <c r="C205" s="90" t="s">
        <v>808</v>
      </c>
      <c r="D205" s="90" t="s">
        <v>195</v>
      </c>
      <c r="E205" s="106" t="s">
        <v>224</v>
      </c>
      <c r="F205" s="106" t="s">
        <v>13</v>
      </c>
      <c r="G205" s="90" t="s">
        <v>1478</v>
      </c>
      <c r="H205" s="61">
        <v>48450</v>
      </c>
      <c r="I205" s="87"/>
      <c r="J205" s="96"/>
      <c r="M205" s="115"/>
    </row>
    <row r="206" spans="1:13" s="89" customFormat="1" ht="20.100000000000001" customHeight="1" x14ac:dyDescent="0.3">
      <c r="A206" s="180"/>
      <c r="B206" s="100" t="s">
        <v>1872</v>
      </c>
      <c r="C206" s="90" t="s">
        <v>816</v>
      </c>
      <c r="D206" s="90" t="s">
        <v>211</v>
      </c>
      <c r="E206" s="106" t="s">
        <v>224</v>
      </c>
      <c r="F206" s="106" t="s">
        <v>13</v>
      </c>
      <c r="G206" s="90" t="s">
        <v>1478</v>
      </c>
      <c r="H206" s="61">
        <v>48450</v>
      </c>
      <c r="I206" s="87"/>
      <c r="J206" s="96"/>
      <c r="M206" s="115"/>
    </row>
    <row r="207" spans="1:13" s="89" customFormat="1" ht="20.100000000000001" customHeight="1" x14ac:dyDescent="0.3">
      <c r="A207" s="180"/>
      <c r="B207" s="100" t="s">
        <v>1695</v>
      </c>
      <c r="C207" s="90" t="s">
        <v>808</v>
      </c>
      <c r="D207" s="90" t="s">
        <v>195</v>
      </c>
      <c r="E207" s="111" t="s">
        <v>224</v>
      </c>
      <c r="F207" s="111" t="s">
        <v>13</v>
      </c>
      <c r="G207" s="90" t="s">
        <v>1698</v>
      </c>
      <c r="H207" s="61">
        <v>51150</v>
      </c>
      <c r="I207" s="87"/>
      <c r="J207" s="96"/>
      <c r="M207" s="115"/>
    </row>
    <row r="208" spans="1:13" s="89" customFormat="1" ht="20.100000000000001" customHeight="1" x14ac:dyDescent="0.3">
      <c r="A208" s="180"/>
      <c r="B208" s="100" t="s">
        <v>1696</v>
      </c>
      <c r="C208" s="90" t="s">
        <v>809</v>
      </c>
      <c r="D208" s="90" t="s">
        <v>211</v>
      </c>
      <c r="E208" s="111" t="s">
        <v>224</v>
      </c>
      <c r="F208" s="111" t="s">
        <v>13</v>
      </c>
      <c r="G208" s="90" t="s">
        <v>1698</v>
      </c>
      <c r="H208" s="61">
        <v>51150</v>
      </c>
      <c r="I208" s="87"/>
      <c r="J208" s="96"/>
      <c r="M208" s="115"/>
    </row>
    <row r="209" spans="1:13" s="89" customFormat="1" ht="20.100000000000001" customHeight="1" x14ac:dyDescent="0.3">
      <c r="A209" s="180"/>
      <c r="B209" s="100" t="s">
        <v>1697</v>
      </c>
      <c r="C209" s="90" t="s">
        <v>810</v>
      </c>
      <c r="D209" s="90" t="s">
        <v>483</v>
      </c>
      <c r="E209" s="111" t="s">
        <v>224</v>
      </c>
      <c r="F209" s="111" t="s">
        <v>13</v>
      </c>
      <c r="G209" s="90" t="s">
        <v>1698</v>
      </c>
      <c r="H209" s="61">
        <v>51150</v>
      </c>
      <c r="I209" s="87"/>
      <c r="J209" s="96"/>
      <c r="M209" s="115"/>
    </row>
    <row r="210" spans="1:13" s="89" customFormat="1" ht="20.100000000000001" customHeight="1" x14ac:dyDescent="0.3">
      <c r="A210" s="180"/>
      <c r="B210" s="100" t="s">
        <v>1873</v>
      </c>
      <c r="C210" s="90" t="s">
        <v>808</v>
      </c>
      <c r="D210" s="90" t="s">
        <v>195</v>
      </c>
      <c r="E210" s="106" t="s">
        <v>224</v>
      </c>
      <c r="F210" s="106" t="s">
        <v>13</v>
      </c>
      <c r="G210" s="90" t="s">
        <v>823</v>
      </c>
      <c r="H210" s="61">
        <v>53900</v>
      </c>
      <c r="I210" s="87"/>
      <c r="J210" s="96"/>
      <c r="M210" s="115"/>
    </row>
    <row r="211" spans="1:13" s="89" customFormat="1" ht="20.100000000000001" customHeight="1" x14ac:dyDescent="0.3">
      <c r="A211" s="180"/>
      <c r="B211" s="100" t="s">
        <v>1874</v>
      </c>
      <c r="C211" s="90" t="s">
        <v>809</v>
      </c>
      <c r="D211" s="90" t="s">
        <v>211</v>
      </c>
      <c r="E211" s="106" t="s">
        <v>224</v>
      </c>
      <c r="F211" s="106" t="s">
        <v>13</v>
      </c>
      <c r="G211" s="90" t="s">
        <v>823</v>
      </c>
      <c r="H211" s="61">
        <v>53900</v>
      </c>
      <c r="I211" s="87"/>
      <c r="J211" s="96"/>
      <c r="M211" s="115"/>
    </row>
    <row r="212" spans="1:13" s="89" customFormat="1" ht="20.100000000000001" customHeight="1" x14ac:dyDescent="0.3">
      <c r="A212" s="180"/>
      <c r="B212" s="100" t="s">
        <v>1875</v>
      </c>
      <c r="C212" s="90" t="s">
        <v>810</v>
      </c>
      <c r="D212" s="90" t="s">
        <v>483</v>
      </c>
      <c r="E212" s="106" t="s">
        <v>224</v>
      </c>
      <c r="F212" s="106" t="s">
        <v>13</v>
      </c>
      <c r="G212" s="90" t="s">
        <v>823</v>
      </c>
      <c r="H212" s="61">
        <v>53900</v>
      </c>
      <c r="I212" s="87"/>
      <c r="J212" s="96"/>
      <c r="M212" s="115"/>
    </row>
    <row r="213" spans="1:13" s="89" customFormat="1" ht="20.100000000000001" customHeight="1" x14ac:dyDescent="0.3">
      <c r="A213" s="180"/>
      <c r="B213" s="100" t="s">
        <v>1700</v>
      </c>
      <c r="C213" s="90" t="s">
        <v>808</v>
      </c>
      <c r="D213" s="90" t="s">
        <v>195</v>
      </c>
      <c r="E213" s="111" t="s">
        <v>224</v>
      </c>
      <c r="F213" s="111" t="s">
        <v>13</v>
      </c>
      <c r="G213" s="90" t="s">
        <v>1699</v>
      </c>
      <c r="H213" s="61">
        <v>56010</v>
      </c>
      <c r="I213" s="87"/>
      <c r="J213" s="96"/>
      <c r="M213" s="115"/>
    </row>
    <row r="214" spans="1:13" s="89" customFormat="1" ht="20.100000000000001" customHeight="1" x14ac:dyDescent="0.3">
      <c r="A214" s="180"/>
      <c r="B214" s="100" t="s">
        <v>1701</v>
      </c>
      <c r="C214" s="90" t="s">
        <v>809</v>
      </c>
      <c r="D214" s="90" t="s">
        <v>211</v>
      </c>
      <c r="E214" s="111" t="s">
        <v>224</v>
      </c>
      <c r="F214" s="111" t="s">
        <v>13</v>
      </c>
      <c r="G214" s="90" t="s">
        <v>1699</v>
      </c>
      <c r="H214" s="61">
        <v>56010</v>
      </c>
      <c r="I214" s="87"/>
      <c r="J214" s="96"/>
      <c r="M214" s="115"/>
    </row>
    <row r="215" spans="1:13" s="89" customFormat="1" ht="20.100000000000001" customHeight="1" x14ac:dyDescent="0.3">
      <c r="A215" s="180"/>
      <c r="B215" s="100" t="s">
        <v>1702</v>
      </c>
      <c r="C215" s="90" t="s">
        <v>810</v>
      </c>
      <c r="D215" s="90" t="s">
        <v>483</v>
      </c>
      <c r="E215" s="111" t="s">
        <v>224</v>
      </c>
      <c r="F215" s="111" t="s">
        <v>13</v>
      </c>
      <c r="G215" s="90" t="s">
        <v>1699</v>
      </c>
      <c r="H215" s="61">
        <v>56010</v>
      </c>
      <c r="I215" s="87"/>
      <c r="J215" s="96"/>
      <c r="M215" s="115"/>
    </row>
    <row r="216" spans="1:13" s="89" customFormat="1" ht="20.100000000000001" customHeight="1" x14ac:dyDescent="0.3">
      <c r="A216" s="180"/>
      <c r="B216" s="100" t="s">
        <v>1876</v>
      </c>
      <c r="C216" s="90" t="s">
        <v>808</v>
      </c>
      <c r="D216" s="90" t="s">
        <v>195</v>
      </c>
      <c r="E216" s="106" t="s">
        <v>224</v>
      </c>
      <c r="F216" s="106" t="s">
        <v>13</v>
      </c>
      <c r="G216" s="90" t="s">
        <v>817</v>
      </c>
      <c r="H216" s="61">
        <v>61500</v>
      </c>
      <c r="I216" s="87"/>
      <c r="J216" s="96"/>
      <c r="M216" s="115"/>
    </row>
    <row r="217" spans="1:13" s="89" customFormat="1" ht="20.100000000000001" customHeight="1" x14ac:dyDescent="0.3">
      <c r="A217" s="180"/>
      <c r="B217" s="100" t="s">
        <v>1877</v>
      </c>
      <c r="C217" s="90" t="s">
        <v>809</v>
      </c>
      <c r="D217" s="90" t="s">
        <v>211</v>
      </c>
      <c r="E217" s="106" t="s">
        <v>224</v>
      </c>
      <c r="F217" s="106" t="s">
        <v>13</v>
      </c>
      <c r="G217" s="90" t="s">
        <v>817</v>
      </c>
      <c r="H217" s="61">
        <v>61500</v>
      </c>
      <c r="I217" s="87"/>
      <c r="J217" s="96"/>
      <c r="M217" s="115"/>
    </row>
    <row r="218" spans="1:13" s="89" customFormat="1" ht="20.100000000000001" customHeight="1" x14ac:dyDescent="0.3">
      <c r="A218" s="180"/>
      <c r="B218" s="100" t="s">
        <v>1878</v>
      </c>
      <c r="C218" s="90" t="s">
        <v>810</v>
      </c>
      <c r="D218" s="90" t="s">
        <v>483</v>
      </c>
      <c r="E218" s="106" t="s">
        <v>224</v>
      </c>
      <c r="F218" s="106" t="s">
        <v>13</v>
      </c>
      <c r="G218" s="90" t="s">
        <v>817</v>
      </c>
      <c r="H218" s="61">
        <v>64500</v>
      </c>
      <c r="I218" s="87"/>
      <c r="J218" s="96"/>
      <c r="M218" s="115"/>
    </row>
    <row r="219" spans="1:13" s="89" customFormat="1" ht="20.100000000000001" customHeight="1" x14ac:dyDescent="0.3">
      <c r="A219" s="143" t="s">
        <v>1479</v>
      </c>
      <c r="B219" s="143"/>
      <c r="C219" s="143"/>
      <c r="D219" s="143"/>
      <c r="E219" s="143"/>
      <c r="F219" s="143"/>
      <c r="G219" s="143"/>
      <c r="H219" s="143"/>
      <c r="I219" s="143"/>
      <c r="J219" s="143"/>
      <c r="M219" s="115"/>
    </row>
    <row r="220" spans="1:13" s="89" customFormat="1" ht="60" customHeight="1" x14ac:dyDescent="0.3">
      <c r="A220" s="98"/>
      <c r="B220" s="143" t="s">
        <v>819</v>
      </c>
      <c r="C220" s="143"/>
      <c r="D220" s="143"/>
      <c r="E220" s="143"/>
      <c r="F220" s="143"/>
      <c r="G220" s="143"/>
      <c r="H220" s="86">
        <v>2850</v>
      </c>
      <c r="I220" s="87"/>
      <c r="J220" s="86"/>
      <c r="M220" s="115"/>
    </row>
    <row r="221" spans="1:13" s="89" customFormat="1" ht="60" customHeight="1" x14ac:dyDescent="0.3">
      <c r="A221" s="97"/>
      <c r="B221" s="174" t="s">
        <v>1694</v>
      </c>
      <c r="C221" s="143"/>
      <c r="D221" s="143"/>
      <c r="E221" s="143"/>
      <c r="F221" s="143"/>
      <c r="G221" s="143"/>
      <c r="H221" s="86">
        <v>13400</v>
      </c>
      <c r="I221" s="87"/>
      <c r="J221" s="86"/>
      <c r="M221" s="115"/>
    </row>
    <row r="222" spans="1:13" s="89" customFormat="1" ht="60" customHeight="1" x14ac:dyDescent="0.3">
      <c r="A222" s="97"/>
      <c r="B222" s="174" t="s">
        <v>1942</v>
      </c>
      <c r="C222" s="143"/>
      <c r="D222" s="143"/>
      <c r="E222" s="143"/>
      <c r="F222" s="143"/>
      <c r="G222" s="143"/>
      <c r="H222" s="86">
        <v>6490</v>
      </c>
      <c r="I222" s="87"/>
      <c r="J222" s="86"/>
      <c r="M222" s="115"/>
    </row>
    <row r="223" spans="1:13" s="89" customFormat="1" ht="60" customHeight="1" x14ac:dyDescent="0.3">
      <c r="A223" s="97"/>
      <c r="B223" s="174" t="s">
        <v>1943</v>
      </c>
      <c r="C223" s="143"/>
      <c r="D223" s="143"/>
      <c r="E223" s="143"/>
      <c r="F223" s="143"/>
      <c r="G223" s="143"/>
      <c r="H223" s="86">
        <v>8440</v>
      </c>
      <c r="I223" s="87"/>
      <c r="J223" s="86"/>
      <c r="M223" s="115"/>
    </row>
    <row r="224" spans="1:13" s="89" customFormat="1" ht="60" customHeight="1" x14ac:dyDescent="0.3">
      <c r="A224" s="97"/>
      <c r="B224" s="174" t="s">
        <v>1944</v>
      </c>
      <c r="C224" s="143"/>
      <c r="D224" s="143"/>
      <c r="E224" s="143"/>
      <c r="F224" s="143"/>
      <c r="G224" s="143"/>
      <c r="H224" s="86">
        <v>11580</v>
      </c>
      <c r="I224" s="87"/>
      <c r="J224" s="86"/>
      <c r="M224" s="115"/>
    </row>
    <row r="225" spans="1:13" s="89" customFormat="1" ht="60" customHeight="1" x14ac:dyDescent="0.3">
      <c r="A225" s="97"/>
      <c r="B225" s="174" t="s">
        <v>1945</v>
      </c>
      <c r="C225" s="143"/>
      <c r="D225" s="143"/>
      <c r="E225" s="143"/>
      <c r="F225" s="143"/>
      <c r="G225" s="143"/>
      <c r="H225" s="86">
        <v>7570</v>
      </c>
      <c r="I225" s="87"/>
      <c r="J225" s="86"/>
      <c r="M225" s="115"/>
    </row>
    <row r="226" spans="1:13" s="89" customFormat="1" ht="60" customHeight="1" x14ac:dyDescent="0.3">
      <c r="A226" s="97"/>
      <c r="B226" s="174" t="s">
        <v>1946</v>
      </c>
      <c r="C226" s="143"/>
      <c r="D226" s="143"/>
      <c r="E226" s="143"/>
      <c r="F226" s="143"/>
      <c r="G226" s="143"/>
      <c r="H226" s="86">
        <v>8440</v>
      </c>
      <c r="I226" s="87"/>
      <c r="J226" s="86"/>
      <c r="M226" s="115"/>
    </row>
    <row r="227" spans="1:13" s="89" customFormat="1" ht="60" customHeight="1" x14ac:dyDescent="0.3">
      <c r="A227" s="97"/>
      <c r="B227" s="174" t="s">
        <v>1947</v>
      </c>
      <c r="C227" s="143"/>
      <c r="D227" s="143"/>
      <c r="E227" s="143"/>
      <c r="F227" s="143"/>
      <c r="G227" s="143"/>
      <c r="H227" s="86">
        <v>9730</v>
      </c>
      <c r="I227" s="87"/>
      <c r="J227" s="86"/>
      <c r="M227" s="115"/>
    </row>
    <row r="228" spans="1:13" ht="20.100000000000001" customHeight="1" x14ac:dyDescent="0.3">
      <c r="A228" s="149"/>
      <c r="B228" s="149"/>
      <c r="C228" s="149"/>
      <c r="D228" s="149"/>
      <c r="E228" s="149"/>
      <c r="F228" s="149"/>
      <c r="G228" s="149"/>
      <c r="H228" s="149"/>
      <c r="I228" s="149"/>
      <c r="J228" s="149"/>
    </row>
    <row r="229" spans="1:13" ht="30" customHeight="1" x14ac:dyDescent="0.3">
      <c r="A229" s="140" t="s">
        <v>820</v>
      </c>
      <c r="B229" s="140"/>
      <c r="C229" s="140"/>
      <c r="D229" s="140"/>
      <c r="E229" s="140"/>
      <c r="F229" s="140"/>
      <c r="G229" s="140"/>
      <c r="H229" s="140"/>
      <c r="I229" s="140"/>
      <c r="J229" s="140"/>
    </row>
    <row r="230" spans="1:13" ht="30" customHeight="1" x14ac:dyDescent="0.3">
      <c r="A230" s="5"/>
      <c r="B230" s="38" t="s">
        <v>2</v>
      </c>
      <c r="C230" s="4" t="s">
        <v>42</v>
      </c>
      <c r="D230" s="4" t="s">
        <v>43</v>
      </c>
      <c r="E230" s="3" t="s">
        <v>9</v>
      </c>
      <c r="F230" s="3" t="s">
        <v>10</v>
      </c>
      <c r="G230" s="4" t="s">
        <v>11</v>
      </c>
      <c r="H230" s="4" t="s">
        <v>17</v>
      </c>
      <c r="I230" s="4" t="s">
        <v>12</v>
      </c>
      <c r="J230" s="4" t="s">
        <v>18</v>
      </c>
    </row>
    <row r="231" spans="1:13" s="89" customFormat="1" ht="60" customHeight="1" x14ac:dyDescent="0.3">
      <c r="A231" s="138"/>
      <c r="B231" s="32" t="s">
        <v>1879</v>
      </c>
      <c r="C231" s="88" t="s">
        <v>808</v>
      </c>
      <c r="D231" s="88" t="s">
        <v>195</v>
      </c>
      <c r="E231" s="88" t="s">
        <v>224</v>
      </c>
      <c r="F231" s="88" t="s">
        <v>13</v>
      </c>
      <c r="G231" s="15" t="s">
        <v>821</v>
      </c>
      <c r="H231" s="93">
        <v>47780</v>
      </c>
      <c r="I231" s="87"/>
      <c r="J231" s="86"/>
      <c r="M231" s="115"/>
    </row>
    <row r="232" spans="1:13" s="89" customFormat="1" ht="60" customHeight="1" x14ac:dyDescent="0.3">
      <c r="A232" s="138"/>
      <c r="B232" s="32" t="s">
        <v>1880</v>
      </c>
      <c r="C232" s="88" t="s">
        <v>809</v>
      </c>
      <c r="D232" s="88" t="s">
        <v>211</v>
      </c>
      <c r="E232" s="88" t="s">
        <v>224</v>
      </c>
      <c r="F232" s="88" t="s">
        <v>13</v>
      </c>
      <c r="G232" s="15" t="s">
        <v>821</v>
      </c>
      <c r="H232" s="93">
        <v>47780</v>
      </c>
      <c r="I232" s="87"/>
      <c r="J232" s="86"/>
      <c r="M232" s="115"/>
    </row>
    <row r="233" spans="1:13" s="89" customFormat="1" ht="20.100000000000001" customHeight="1" x14ac:dyDescent="0.3">
      <c r="A233" s="171" t="s">
        <v>818</v>
      </c>
      <c r="B233" s="172"/>
      <c r="C233" s="172"/>
      <c r="D233" s="172"/>
      <c r="E233" s="172"/>
      <c r="F233" s="172"/>
      <c r="G233" s="172"/>
      <c r="H233" s="172"/>
      <c r="I233" s="172"/>
      <c r="J233" s="173"/>
      <c r="M233" s="115"/>
    </row>
    <row r="234" spans="1:13" s="89" customFormat="1" ht="60" customHeight="1" x14ac:dyDescent="0.3">
      <c r="A234" s="97"/>
      <c r="B234" s="171" t="s">
        <v>1499</v>
      </c>
      <c r="C234" s="172"/>
      <c r="D234" s="172"/>
      <c r="E234" s="172"/>
      <c r="F234" s="172"/>
      <c r="G234" s="173"/>
      <c r="H234" s="61">
        <v>4850</v>
      </c>
      <c r="I234" s="87"/>
      <c r="J234" s="86"/>
      <c r="M234" s="115"/>
    </row>
    <row r="235" spans="1:13" s="89" customFormat="1" ht="60" customHeight="1" x14ac:dyDescent="0.3">
      <c r="A235" s="97"/>
      <c r="B235" s="171" t="s">
        <v>1498</v>
      </c>
      <c r="C235" s="172"/>
      <c r="D235" s="172"/>
      <c r="E235" s="172"/>
      <c r="F235" s="172"/>
      <c r="G235" s="173"/>
      <c r="H235" s="61">
        <v>7540</v>
      </c>
      <c r="I235" s="87"/>
      <c r="J235" s="86"/>
      <c r="M235" s="115"/>
    </row>
    <row r="236" spans="1:13" s="89" customFormat="1" ht="60" customHeight="1" x14ac:dyDescent="0.3">
      <c r="A236" s="98"/>
      <c r="B236" s="171" t="s">
        <v>1500</v>
      </c>
      <c r="C236" s="172"/>
      <c r="D236" s="172"/>
      <c r="E236" s="172"/>
      <c r="F236" s="172"/>
      <c r="G236" s="173"/>
      <c r="H236" s="61">
        <v>10420</v>
      </c>
      <c r="I236" s="87"/>
      <c r="J236" s="86"/>
      <c r="M236" s="115"/>
    </row>
    <row r="237" spans="1:13" s="89" customFormat="1" ht="60" customHeight="1" x14ac:dyDescent="0.3">
      <c r="A237" s="97"/>
      <c r="B237" s="171" t="s">
        <v>1501</v>
      </c>
      <c r="C237" s="172"/>
      <c r="D237" s="172"/>
      <c r="E237" s="172"/>
      <c r="F237" s="172"/>
      <c r="G237" s="173"/>
      <c r="H237" s="61">
        <v>13840</v>
      </c>
      <c r="I237" s="87"/>
      <c r="J237" s="86"/>
      <c r="M237" s="115"/>
    </row>
    <row r="238" spans="1:13" s="89" customFormat="1" ht="60" customHeight="1" x14ac:dyDescent="0.3">
      <c r="A238" s="97"/>
      <c r="B238" s="171" t="s">
        <v>970</v>
      </c>
      <c r="C238" s="172"/>
      <c r="D238" s="172"/>
      <c r="E238" s="172"/>
      <c r="F238" s="172"/>
      <c r="G238" s="173"/>
      <c r="H238" s="61">
        <v>8950</v>
      </c>
      <c r="I238" s="87"/>
      <c r="J238" s="86"/>
      <c r="M238" s="115"/>
    </row>
    <row r="239" spans="1:13" s="89" customFormat="1" ht="60" customHeight="1" x14ac:dyDescent="0.3">
      <c r="A239" s="97"/>
      <c r="B239" s="171" t="s">
        <v>1158</v>
      </c>
      <c r="C239" s="172"/>
      <c r="D239" s="172"/>
      <c r="E239" s="172"/>
      <c r="F239" s="172"/>
      <c r="G239" s="173"/>
      <c r="H239" s="61">
        <v>18000</v>
      </c>
      <c r="I239" s="87"/>
      <c r="J239" s="86"/>
      <c r="M239" s="115"/>
    </row>
    <row r="240" spans="1:13" s="89" customFormat="1" ht="60" customHeight="1" x14ac:dyDescent="0.3">
      <c r="A240" s="98"/>
      <c r="B240" s="171" t="s">
        <v>971</v>
      </c>
      <c r="C240" s="172"/>
      <c r="D240" s="172"/>
      <c r="E240" s="172"/>
      <c r="F240" s="172"/>
      <c r="G240" s="173"/>
      <c r="H240" s="61">
        <v>19400</v>
      </c>
      <c r="I240" s="87"/>
      <c r="J240" s="86"/>
      <c r="M240" s="115"/>
    </row>
    <row r="241" spans="1:13" s="89" customFormat="1" ht="60" customHeight="1" x14ac:dyDescent="0.3">
      <c r="A241" s="92"/>
      <c r="B241" s="171" t="s">
        <v>1480</v>
      </c>
      <c r="C241" s="172"/>
      <c r="D241" s="172"/>
      <c r="E241" s="172"/>
      <c r="F241" s="172"/>
      <c r="G241" s="173"/>
      <c r="H241" s="61">
        <v>27070</v>
      </c>
      <c r="I241" s="87"/>
      <c r="J241" s="86"/>
      <c r="M241" s="115"/>
    </row>
    <row r="242" spans="1:13" s="89" customFormat="1" ht="60" customHeight="1" x14ac:dyDescent="0.3">
      <c r="A242" s="92"/>
      <c r="B242" s="171" t="s">
        <v>1481</v>
      </c>
      <c r="C242" s="172"/>
      <c r="D242" s="172"/>
      <c r="E242" s="172"/>
      <c r="F242" s="172"/>
      <c r="G242" s="173"/>
      <c r="H242" s="61">
        <v>28300</v>
      </c>
      <c r="I242" s="87"/>
      <c r="J242" s="86"/>
      <c r="M242" s="115"/>
    </row>
    <row r="243" spans="1:13" s="89" customFormat="1" ht="20.100000000000001" customHeight="1" x14ac:dyDescent="0.3">
      <c r="A243" s="171" t="s">
        <v>1479</v>
      </c>
      <c r="B243" s="172"/>
      <c r="C243" s="172"/>
      <c r="D243" s="172"/>
      <c r="E243" s="172"/>
      <c r="F243" s="172"/>
      <c r="G243" s="172"/>
      <c r="H243" s="172"/>
      <c r="I243" s="172"/>
      <c r="J243" s="173"/>
      <c r="M243" s="115"/>
    </row>
    <row r="244" spans="1:13" s="89" customFormat="1" ht="60" customHeight="1" x14ac:dyDescent="0.3">
      <c r="A244" s="98"/>
      <c r="B244" s="171" t="s">
        <v>819</v>
      </c>
      <c r="C244" s="172"/>
      <c r="D244" s="172"/>
      <c r="E244" s="172"/>
      <c r="F244" s="172"/>
      <c r="G244" s="173"/>
      <c r="H244" s="86">
        <v>2850</v>
      </c>
      <c r="I244" s="87"/>
      <c r="J244" s="86"/>
      <c r="M244" s="115"/>
    </row>
    <row r="245" spans="1:13" s="89" customFormat="1" ht="60" customHeight="1" x14ac:dyDescent="0.3">
      <c r="A245" s="97"/>
      <c r="B245" s="174" t="s">
        <v>1694</v>
      </c>
      <c r="C245" s="143"/>
      <c r="D245" s="143"/>
      <c r="E245" s="143"/>
      <c r="F245" s="143"/>
      <c r="G245" s="143"/>
      <c r="H245" s="86">
        <v>13400</v>
      </c>
      <c r="I245" s="87"/>
      <c r="J245" s="86"/>
      <c r="M245" s="115"/>
    </row>
    <row r="246" spans="1:13" ht="20.100000000000001" customHeight="1" x14ac:dyDescent="0.3">
      <c r="A246" s="149"/>
      <c r="B246" s="149"/>
      <c r="C246" s="149"/>
      <c r="D246" s="149"/>
      <c r="E246" s="149"/>
      <c r="F246" s="149"/>
      <c r="G246" s="149"/>
      <c r="H246" s="149"/>
      <c r="I246" s="149"/>
      <c r="J246" s="149"/>
    </row>
    <row r="247" spans="1:13" ht="30" customHeight="1" x14ac:dyDescent="0.3">
      <c r="A247" s="140" t="s">
        <v>822</v>
      </c>
      <c r="B247" s="140"/>
      <c r="C247" s="140"/>
      <c r="D247" s="140"/>
      <c r="E247" s="140"/>
      <c r="F247" s="140"/>
      <c r="G247" s="140"/>
      <c r="H247" s="140"/>
      <c r="I247" s="140"/>
      <c r="J247" s="140"/>
    </row>
    <row r="248" spans="1:13" ht="30" customHeight="1" x14ac:dyDescent="0.3">
      <c r="A248" s="83"/>
      <c r="B248" s="38" t="s">
        <v>2</v>
      </c>
      <c r="C248" s="4" t="s">
        <v>42</v>
      </c>
      <c r="D248" s="4" t="s">
        <v>43</v>
      </c>
      <c r="E248" s="38" t="s">
        <v>9</v>
      </c>
      <c r="F248" s="38" t="s">
        <v>10</v>
      </c>
      <c r="G248" s="4" t="s">
        <v>11</v>
      </c>
      <c r="H248" s="4" t="s">
        <v>17</v>
      </c>
      <c r="I248" s="4"/>
      <c r="J248" s="4"/>
    </row>
    <row r="249" spans="1:13" s="89" customFormat="1" ht="27.9" customHeight="1" x14ac:dyDescent="0.3">
      <c r="A249" s="138"/>
      <c r="B249" s="95" t="s">
        <v>1948</v>
      </c>
      <c r="C249" s="88" t="s">
        <v>808</v>
      </c>
      <c r="D249" s="88" t="s">
        <v>195</v>
      </c>
      <c r="E249" s="88" t="s">
        <v>224</v>
      </c>
      <c r="F249" s="88" t="s">
        <v>13</v>
      </c>
      <c r="G249" s="15" t="s">
        <v>821</v>
      </c>
      <c r="H249" s="93">
        <v>58180</v>
      </c>
      <c r="I249" s="87"/>
      <c r="J249" s="86"/>
      <c r="M249" s="115"/>
    </row>
    <row r="250" spans="1:13" s="89" customFormat="1" ht="27.9" customHeight="1" x14ac:dyDescent="0.3">
      <c r="A250" s="138"/>
      <c r="B250" s="95" t="s">
        <v>1949</v>
      </c>
      <c r="C250" s="88" t="s">
        <v>816</v>
      </c>
      <c r="D250" s="88" t="s">
        <v>211</v>
      </c>
      <c r="E250" s="88" t="s">
        <v>224</v>
      </c>
      <c r="F250" s="88" t="s">
        <v>13</v>
      </c>
      <c r="G250" s="15" t="s">
        <v>821</v>
      </c>
      <c r="H250" s="93">
        <v>58180</v>
      </c>
      <c r="I250" s="87"/>
      <c r="J250" s="86"/>
      <c r="M250" s="115"/>
    </row>
    <row r="251" spans="1:13" s="89" customFormat="1" ht="27.9" customHeight="1" x14ac:dyDescent="0.3">
      <c r="A251" s="138"/>
      <c r="B251" s="95" t="s">
        <v>1950</v>
      </c>
      <c r="C251" s="88" t="s">
        <v>808</v>
      </c>
      <c r="D251" s="88" t="s">
        <v>195</v>
      </c>
      <c r="E251" s="88" t="s">
        <v>224</v>
      </c>
      <c r="F251" s="88" t="s">
        <v>13</v>
      </c>
      <c r="G251" s="15" t="s">
        <v>823</v>
      </c>
      <c r="H251" s="93">
        <v>68270</v>
      </c>
      <c r="I251" s="87"/>
      <c r="J251" s="86"/>
      <c r="M251" s="115"/>
    </row>
    <row r="252" spans="1:13" s="89" customFormat="1" ht="27.9" customHeight="1" x14ac:dyDescent="0.3">
      <c r="A252" s="138"/>
      <c r="B252" s="95" t="s">
        <v>1951</v>
      </c>
      <c r="C252" s="88" t="s">
        <v>809</v>
      </c>
      <c r="D252" s="88" t="s">
        <v>211</v>
      </c>
      <c r="E252" s="88" t="s">
        <v>224</v>
      </c>
      <c r="F252" s="88" t="s">
        <v>13</v>
      </c>
      <c r="G252" s="15" t="s">
        <v>823</v>
      </c>
      <c r="H252" s="93">
        <v>68270</v>
      </c>
      <c r="I252" s="87"/>
      <c r="J252" s="86"/>
      <c r="M252" s="115"/>
    </row>
    <row r="253" spans="1:13" s="89" customFormat="1" ht="27.9" customHeight="1" x14ac:dyDescent="0.3">
      <c r="A253" s="138"/>
      <c r="B253" s="95" t="s">
        <v>1952</v>
      </c>
      <c r="C253" s="88" t="s">
        <v>808</v>
      </c>
      <c r="D253" s="88" t="s">
        <v>195</v>
      </c>
      <c r="E253" s="88" t="s">
        <v>224</v>
      </c>
      <c r="F253" s="88" t="s">
        <v>13</v>
      </c>
      <c r="G253" s="15" t="s">
        <v>821</v>
      </c>
      <c r="H253" s="93">
        <v>93440</v>
      </c>
      <c r="I253" s="87"/>
      <c r="J253" s="86"/>
      <c r="M253" s="115"/>
    </row>
    <row r="254" spans="1:13" s="89" customFormat="1" ht="27.9" customHeight="1" x14ac:dyDescent="0.3">
      <c r="A254" s="138"/>
      <c r="B254" s="95" t="s">
        <v>1953</v>
      </c>
      <c r="C254" s="88" t="s">
        <v>816</v>
      </c>
      <c r="D254" s="88" t="s">
        <v>211</v>
      </c>
      <c r="E254" s="88" t="s">
        <v>224</v>
      </c>
      <c r="F254" s="88" t="s">
        <v>13</v>
      </c>
      <c r="G254" s="15" t="s">
        <v>821</v>
      </c>
      <c r="H254" s="93">
        <v>93440</v>
      </c>
      <c r="I254" s="87"/>
      <c r="J254" s="86"/>
      <c r="M254" s="115"/>
    </row>
    <row r="255" spans="1:13" s="89" customFormat="1" ht="27.9" customHeight="1" x14ac:dyDescent="0.3">
      <c r="A255" s="138"/>
      <c r="B255" s="95" t="s">
        <v>1954</v>
      </c>
      <c r="C255" s="88" t="s">
        <v>808</v>
      </c>
      <c r="D255" s="88" t="s">
        <v>195</v>
      </c>
      <c r="E255" s="88" t="s">
        <v>224</v>
      </c>
      <c r="F255" s="88" t="s">
        <v>13</v>
      </c>
      <c r="G255" s="15" t="s">
        <v>823</v>
      </c>
      <c r="H255" s="93">
        <v>128070</v>
      </c>
      <c r="I255" s="87"/>
      <c r="J255" s="86"/>
      <c r="M255" s="115"/>
    </row>
    <row r="256" spans="1:13" s="89" customFormat="1" ht="27.9" customHeight="1" x14ac:dyDescent="0.3">
      <c r="A256" s="138"/>
      <c r="B256" s="95" t="s">
        <v>1955</v>
      </c>
      <c r="C256" s="88" t="s">
        <v>809</v>
      </c>
      <c r="D256" s="88" t="s">
        <v>211</v>
      </c>
      <c r="E256" s="88" t="s">
        <v>224</v>
      </c>
      <c r="F256" s="88" t="s">
        <v>13</v>
      </c>
      <c r="G256" s="15" t="s">
        <v>823</v>
      </c>
      <c r="H256" s="93">
        <v>128070</v>
      </c>
      <c r="I256" s="87"/>
      <c r="J256" s="86"/>
      <c r="M256" s="115"/>
    </row>
    <row r="257" spans="1:13" s="89" customFormat="1" ht="20.100000000000001" customHeight="1" x14ac:dyDescent="0.3">
      <c r="A257" s="171" t="s">
        <v>818</v>
      </c>
      <c r="B257" s="172"/>
      <c r="C257" s="172"/>
      <c r="D257" s="172"/>
      <c r="E257" s="172"/>
      <c r="F257" s="172"/>
      <c r="G257" s="172"/>
      <c r="H257" s="172"/>
      <c r="I257" s="172"/>
      <c r="J257" s="173"/>
      <c r="M257" s="115"/>
    </row>
    <row r="258" spans="1:13" s="89" customFormat="1" ht="60" customHeight="1" x14ac:dyDescent="0.3">
      <c r="A258" s="97"/>
      <c r="B258" s="171" t="s">
        <v>1499</v>
      </c>
      <c r="C258" s="172"/>
      <c r="D258" s="172"/>
      <c r="E258" s="172"/>
      <c r="F258" s="172"/>
      <c r="G258" s="173"/>
      <c r="H258" s="61">
        <v>4850</v>
      </c>
      <c r="I258" s="87"/>
      <c r="J258" s="86"/>
      <c r="M258" s="115"/>
    </row>
    <row r="259" spans="1:13" s="89" customFormat="1" ht="60" customHeight="1" x14ac:dyDescent="0.3">
      <c r="A259" s="97"/>
      <c r="B259" s="171" t="s">
        <v>1498</v>
      </c>
      <c r="C259" s="172"/>
      <c r="D259" s="172"/>
      <c r="E259" s="172"/>
      <c r="F259" s="172"/>
      <c r="G259" s="173"/>
      <c r="H259" s="61">
        <v>7540</v>
      </c>
      <c r="I259" s="87"/>
      <c r="J259" s="86"/>
      <c r="M259" s="115"/>
    </row>
    <row r="260" spans="1:13" s="89" customFormat="1" ht="60" customHeight="1" x14ac:dyDescent="0.3">
      <c r="A260" s="98"/>
      <c r="B260" s="171" t="s">
        <v>1500</v>
      </c>
      <c r="C260" s="172"/>
      <c r="D260" s="172"/>
      <c r="E260" s="172"/>
      <c r="F260" s="172"/>
      <c r="G260" s="173"/>
      <c r="H260" s="61">
        <v>10420</v>
      </c>
      <c r="I260" s="87"/>
      <c r="J260" s="86"/>
      <c r="M260" s="115"/>
    </row>
    <row r="261" spans="1:13" s="89" customFormat="1" ht="60" customHeight="1" x14ac:dyDescent="0.3">
      <c r="A261" s="97"/>
      <c r="B261" s="171" t="s">
        <v>1501</v>
      </c>
      <c r="C261" s="172"/>
      <c r="D261" s="172"/>
      <c r="E261" s="172"/>
      <c r="F261" s="172"/>
      <c r="G261" s="173"/>
      <c r="H261" s="61">
        <v>13840</v>
      </c>
      <c r="I261" s="87"/>
      <c r="J261" s="86"/>
      <c r="M261" s="115"/>
    </row>
    <row r="262" spans="1:13" s="89" customFormat="1" ht="60" customHeight="1" x14ac:dyDescent="0.3">
      <c r="A262" s="97"/>
      <c r="B262" s="171" t="s">
        <v>970</v>
      </c>
      <c r="C262" s="172"/>
      <c r="D262" s="172"/>
      <c r="E262" s="172"/>
      <c r="F262" s="172"/>
      <c r="G262" s="173"/>
      <c r="H262" s="61">
        <v>8950</v>
      </c>
      <c r="I262" s="87"/>
      <c r="J262" s="86"/>
      <c r="M262" s="115"/>
    </row>
    <row r="263" spans="1:13" s="89" customFormat="1" ht="60" customHeight="1" x14ac:dyDescent="0.3">
      <c r="A263" s="97"/>
      <c r="B263" s="171" t="s">
        <v>1158</v>
      </c>
      <c r="C263" s="172"/>
      <c r="D263" s="172"/>
      <c r="E263" s="172"/>
      <c r="F263" s="172"/>
      <c r="G263" s="173"/>
      <c r="H263" s="61">
        <v>18000</v>
      </c>
      <c r="I263" s="87"/>
      <c r="J263" s="86"/>
      <c r="M263" s="115"/>
    </row>
    <row r="264" spans="1:13" s="89" customFormat="1" ht="60" customHeight="1" x14ac:dyDescent="0.3">
      <c r="A264" s="98"/>
      <c r="B264" s="171" t="s">
        <v>971</v>
      </c>
      <c r="C264" s="172"/>
      <c r="D264" s="172"/>
      <c r="E264" s="172"/>
      <c r="F264" s="172"/>
      <c r="G264" s="173"/>
      <c r="H264" s="61">
        <v>19400</v>
      </c>
      <c r="I264" s="87"/>
      <c r="J264" s="86"/>
      <c r="M264" s="115"/>
    </row>
    <row r="265" spans="1:13" s="89" customFormat="1" ht="60" customHeight="1" x14ac:dyDescent="0.3">
      <c r="A265" s="92"/>
      <c r="B265" s="171" t="s">
        <v>1480</v>
      </c>
      <c r="C265" s="172"/>
      <c r="D265" s="172"/>
      <c r="E265" s="172"/>
      <c r="F265" s="172"/>
      <c r="G265" s="173"/>
      <c r="H265" s="61">
        <v>27070</v>
      </c>
      <c r="I265" s="87"/>
      <c r="J265" s="86"/>
      <c r="M265" s="115"/>
    </row>
    <row r="266" spans="1:13" s="89" customFormat="1" ht="60" customHeight="1" x14ac:dyDescent="0.3">
      <c r="A266" s="92"/>
      <c r="B266" s="171" t="s">
        <v>1481</v>
      </c>
      <c r="C266" s="172"/>
      <c r="D266" s="172"/>
      <c r="E266" s="172"/>
      <c r="F266" s="172"/>
      <c r="G266" s="173"/>
      <c r="H266" s="61">
        <v>28300</v>
      </c>
      <c r="I266" s="87"/>
      <c r="J266" s="86"/>
      <c r="M266" s="115"/>
    </row>
    <row r="267" spans="1:13" s="89" customFormat="1" ht="20.100000000000001" customHeight="1" x14ac:dyDescent="0.3">
      <c r="A267" s="171" t="s">
        <v>1479</v>
      </c>
      <c r="B267" s="172"/>
      <c r="C267" s="172"/>
      <c r="D267" s="172"/>
      <c r="E267" s="172"/>
      <c r="F267" s="172"/>
      <c r="G267" s="172"/>
      <c r="H267" s="172"/>
      <c r="I267" s="172"/>
      <c r="J267" s="173"/>
      <c r="M267" s="115"/>
    </row>
    <row r="268" spans="1:13" s="89" customFormat="1" ht="60" customHeight="1" x14ac:dyDescent="0.3">
      <c r="A268" s="98"/>
      <c r="B268" s="171" t="s">
        <v>819</v>
      </c>
      <c r="C268" s="172"/>
      <c r="D268" s="172"/>
      <c r="E268" s="172"/>
      <c r="F268" s="172"/>
      <c r="G268" s="173"/>
      <c r="H268" s="86">
        <v>2850</v>
      </c>
      <c r="I268" s="87"/>
      <c r="J268" s="86"/>
      <c r="M268" s="115"/>
    </row>
    <row r="269" spans="1:13" s="89" customFormat="1" ht="60" customHeight="1" x14ac:dyDescent="0.3">
      <c r="A269" s="97"/>
      <c r="B269" s="174" t="s">
        <v>1694</v>
      </c>
      <c r="C269" s="143"/>
      <c r="D269" s="143"/>
      <c r="E269" s="143"/>
      <c r="F269" s="143"/>
      <c r="G269" s="143"/>
      <c r="H269" s="86">
        <v>13400</v>
      </c>
      <c r="I269" s="87"/>
      <c r="J269" s="86"/>
      <c r="M269" s="115"/>
    </row>
    <row r="270" spans="1:13" ht="20.100000000000001" customHeight="1" x14ac:dyDescent="0.3">
      <c r="A270" s="149"/>
      <c r="B270" s="149"/>
      <c r="C270" s="149"/>
      <c r="D270" s="149"/>
      <c r="E270" s="149"/>
      <c r="F270" s="149"/>
      <c r="G270" s="149"/>
      <c r="H270" s="149"/>
      <c r="I270" s="149"/>
      <c r="J270" s="149"/>
    </row>
    <row r="271" spans="1:13" ht="30" customHeight="1" x14ac:dyDescent="0.3">
      <c r="A271" s="140" t="s">
        <v>824</v>
      </c>
      <c r="B271" s="140"/>
      <c r="C271" s="140"/>
      <c r="D271" s="140"/>
      <c r="E271" s="140"/>
      <c r="F271" s="140"/>
      <c r="G271" s="140"/>
      <c r="H271" s="140"/>
      <c r="I271" s="140"/>
      <c r="J271" s="140"/>
    </row>
    <row r="272" spans="1:13" ht="30" customHeight="1" x14ac:dyDescent="0.3">
      <c r="A272" s="5"/>
      <c r="B272" s="3" t="s">
        <v>2</v>
      </c>
      <c r="C272" s="4" t="s">
        <v>42</v>
      </c>
      <c r="D272" s="4" t="s">
        <v>43</v>
      </c>
      <c r="E272" s="3" t="s">
        <v>9</v>
      </c>
      <c r="F272" s="3" t="s">
        <v>10</v>
      </c>
      <c r="G272" s="4" t="s">
        <v>11</v>
      </c>
      <c r="H272" s="4" t="s">
        <v>17</v>
      </c>
      <c r="I272" s="4" t="s">
        <v>12</v>
      </c>
      <c r="J272" s="4" t="s">
        <v>18</v>
      </c>
    </row>
    <row r="273" spans="1:13" s="89" customFormat="1" ht="60" customHeight="1" x14ac:dyDescent="0.3">
      <c r="A273" s="138"/>
      <c r="B273" s="32" t="s">
        <v>825</v>
      </c>
      <c r="C273" s="88" t="s">
        <v>808</v>
      </c>
      <c r="D273" s="88" t="s">
        <v>195</v>
      </c>
      <c r="E273" s="88" t="s">
        <v>224</v>
      </c>
      <c r="F273" s="88" t="s">
        <v>13</v>
      </c>
      <c r="G273" s="15" t="s">
        <v>827</v>
      </c>
      <c r="H273" s="93">
        <v>35500</v>
      </c>
      <c r="I273" s="87"/>
      <c r="J273" s="86"/>
      <c r="M273" s="115"/>
    </row>
    <row r="274" spans="1:13" s="89" customFormat="1" ht="60" customHeight="1" x14ac:dyDescent="0.3">
      <c r="A274" s="138"/>
      <c r="B274" s="32" t="s">
        <v>826</v>
      </c>
      <c r="C274" s="88" t="s">
        <v>809</v>
      </c>
      <c r="D274" s="88" t="s">
        <v>211</v>
      </c>
      <c r="E274" s="88" t="s">
        <v>224</v>
      </c>
      <c r="F274" s="88" t="s">
        <v>13</v>
      </c>
      <c r="G274" s="15" t="s">
        <v>827</v>
      </c>
      <c r="H274" s="93">
        <v>35500</v>
      </c>
      <c r="I274" s="87"/>
      <c r="J274" s="86"/>
      <c r="M274" s="115"/>
    </row>
    <row r="275" spans="1:13" s="89" customFormat="1" ht="20.100000000000001" customHeight="1" x14ac:dyDescent="0.3">
      <c r="A275" s="171" t="s">
        <v>818</v>
      </c>
      <c r="B275" s="172"/>
      <c r="C275" s="172"/>
      <c r="D275" s="172"/>
      <c r="E275" s="172"/>
      <c r="F275" s="172"/>
      <c r="G275" s="172"/>
      <c r="H275" s="172"/>
      <c r="I275" s="172"/>
      <c r="J275" s="173"/>
      <c r="M275" s="115"/>
    </row>
    <row r="276" spans="1:13" s="89" customFormat="1" ht="60" customHeight="1" x14ac:dyDescent="0.3">
      <c r="A276" s="97"/>
      <c r="B276" s="171" t="s">
        <v>1499</v>
      </c>
      <c r="C276" s="172"/>
      <c r="D276" s="172"/>
      <c r="E276" s="172"/>
      <c r="F276" s="172"/>
      <c r="G276" s="173"/>
      <c r="H276" s="61">
        <v>4850</v>
      </c>
      <c r="I276" s="87"/>
      <c r="J276" s="86"/>
      <c r="M276" s="115"/>
    </row>
    <row r="277" spans="1:13" s="89" customFormat="1" ht="60" customHeight="1" x14ac:dyDescent="0.3">
      <c r="A277" s="97"/>
      <c r="B277" s="171" t="s">
        <v>1498</v>
      </c>
      <c r="C277" s="172"/>
      <c r="D277" s="172"/>
      <c r="E277" s="172"/>
      <c r="F277" s="172"/>
      <c r="G277" s="173"/>
      <c r="H277" s="61">
        <v>7540</v>
      </c>
      <c r="I277" s="87"/>
      <c r="J277" s="86"/>
      <c r="M277" s="115"/>
    </row>
    <row r="278" spans="1:13" s="89" customFormat="1" ht="60" customHeight="1" x14ac:dyDescent="0.3">
      <c r="A278" s="98"/>
      <c r="B278" s="171" t="s">
        <v>1500</v>
      </c>
      <c r="C278" s="172"/>
      <c r="D278" s="172"/>
      <c r="E278" s="172"/>
      <c r="F278" s="172"/>
      <c r="G278" s="173"/>
      <c r="H278" s="61">
        <v>10420</v>
      </c>
      <c r="I278" s="87"/>
      <c r="J278" s="86"/>
      <c r="M278" s="115"/>
    </row>
    <row r="279" spans="1:13" s="89" customFormat="1" ht="60" customHeight="1" x14ac:dyDescent="0.3">
      <c r="A279" s="97"/>
      <c r="B279" s="171" t="s">
        <v>1501</v>
      </c>
      <c r="C279" s="172"/>
      <c r="D279" s="172"/>
      <c r="E279" s="172"/>
      <c r="F279" s="172"/>
      <c r="G279" s="173"/>
      <c r="H279" s="61">
        <v>13840</v>
      </c>
      <c r="I279" s="87"/>
      <c r="J279" s="86"/>
      <c r="M279" s="115"/>
    </row>
    <row r="280" spans="1:13" s="89" customFormat="1" ht="60" customHeight="1" x14ac:dyDescent="0.3">
      <c r="A280" s="97"/>
      <c r="B280" s="171" t="s">
        <v>970</v>
      </c>
      <c r="C280" s="172"/>
      <c r="D280" s="172"/>
      <c r="E280" s="172"/>
      <c r="F280" s="172"/>
      <c r="G280" s="173"/>
      <c r="H280" s="61">
        <v>8950</v>
      </c>
      <c r="I280" s="87"/>
      <c r="J280" s="86"/>
      <c r="M280" s="115"/>
    </row>
    <row r="281" spans="1:13" s="89" customFormat="1" ht="60" customHeight="1" x14ac:dyDescent="0.3">
      <c r="A281" s="97"/>
      <c r="B281" s="171" t="s">
        <v>1158</v>
      </c>
      <c r="C281" s="172"/>
      <c r="D281" s="172"/>
      <c r="E281" s="172"/>
      <c r="F281" s="172"/>
      <c r="G281" s="173"/>
      <c r="H281" s="61">
        <v>18000</v>
      </c>
      <c r="I281" s="87"/>
      <c r="J281" s="86"/>
      <c r="M281" s="115"/>
    </row>
    <row r="282" spans="1:13" s="89" customFormat="1" ht="60" customHeight="1" x14ac:dyDescent="0.3">
      <c r="A282" s="98"/>
      <c r="B282" s="171" t="s">
        <v>971</v>
      </c>
      <c r="C282" s="172"/>
      <c r="D282" s="172"/>
      <c r="E282" s="172"/>
      <c r="F282" s="172"/>
      <c r="G282" s="173"/>
      <c r="H282" s="61">
        <v>19400</v>
      </c>
      <c r="I282" s="87"/>
      <c r="J282" s="86"/>
      <c r="M282" s="115"/>
    </row>
    <row r="283" spans="1:13" s="89" customFormat="1" ht="60" customHeight="1" x14ac:dyDescent="0.3">
      <c r="A283" s="92"/>
      <c r="B283" s="171" t="s">
        <v>1480</v>
      </c>
      <c r="C283" s="172"/>
      <c r="D283" s="172"/>
      <c r="E283" s="172"/>
      <c r="F283" s="172"/>
      <c r="G283" s="173"/>
      <c r="H283" s="61">
        <v>27070</v>
      </c>
      <c r="I283" s="87"/>
      <c r="J283" s="86"/>
      <c r="M283" s="115"/>
    </row>
    <row r="284" spans="1:13" s="89" customFormat="1" ht="60" customHeight="1" x14ac:dyDescent="0.3">
      <c r="A284" s="92"/>
      <c r="B284" s="171" t="s">
        <v>1481</v>
      </c>
      <c r="C284" s="172"/>
      <c r="D284" s="172"/>
      <c r="E284" s="172"/>
      <c r="F284" s="172"/>
      <c r="G284" s="173"/>
      <c r="H284" s="61">
        <v>28300</v>
      </c>
      <c r="I284" s="87"/>
      <c r="J284" s="86"/>
      <c r="M284" s="115"/>
    </row>
    <row r="285" spans="1:13" s="89" customFormat="1" ht="20.100000000000001" customHeight="1" x14ac:dyDescent="0.3">
      <c r="A285" s="171" t="s">
        <v>1479</v>
      </c>
      <c r="B285" s="172"/>
      <c r="C285" s="172"/>
      <c r="D285" s="172"/>
      <c r="E285" s="172"/>
      <c r="F285" s="172"/>
      <c r="G285" s="172"/>
      <c r="H285" s="172"/>
      <c r="I285" s="172"/>
      <c r="J285" s="173"/>
      <c r="M285" s="115"/>
    </row>
    <row r="286" spans="1:13" s="89" customFormat="1" ht="60" customHeight="1" x14ac:dyDescent="0.3">
      <c r="A286" s="98"/>
      <c r="B286" s="171" t="s">
        <v>819</v>
      </c>
      <c r="C286" s="172"/>
      <c r="D286" s="172"/>
      <c r="E286" s="172"/>
      <c r="F286" s="172"/>
      <c r="G286" s="173"/>
      <c r="H286" s="86">
        <v>2850</v>
      </c>
      <c r="I286" s="87"/>
      <c r="J286" s="86"/>
      <c r="M286" s="115"/>
    </row>
    <row r="287" spans="1:13" s="89" customFormat="1" ht="60" customHeight="1" x14ac:dyDescent="0.3">
      <c r="A287" s="97"/>
      <c r="B287" s="174" t="s">
        <v>1694</v>
      </c>
      <c r="C287" s="143"/>
      <c r="D287" s="143"/>
      <c r="E287" s="143"/>
      <c r="F287" s="143"/>
      <c r="G287" s="143"/>
      <c r="H287" s="86">
        <v>13400</v>
      </c>
      <c r="I287" s="87"/>
      <c r="J287" s="86"/>
      <c r="M287" s="115"/>
    </row>
    <row r="288" spans="1:13" ht="20.100000000000001" customHeight="1" x14ac:dyDescent="0.3">
      <c r="A288" s="149"/>
      <c r="B288" s="149"/>
      <c r="C288" s="149"/>
      <c r="D288" s="149"/>
      <c r="E288" s="149"/>
      <c r="F288" s="149"/>
      <c r="G288" s="149"/>
      <c r="H288" s="149"/>
      <c r="I288" s="149"/>
      <c r="J288" s="149"/>
    </row>
    <row r="289" spans="1:13" ht="30" customHeight="1" x14ac:dyDescent="0.3">
      <c r="A289" s="140" t="s">
        <v>1958</v>
      </c>
      <c r="B289" s="140"/>
      <c r="C289" s="140"/>
      <c r="D289" s="140"/>
      <c r="E289" s="140"/>
      <c r="F289" s="140"/>
      <c r="G289" s="140"/>
      <c r="H289" s="140"/>
      <c r="I289" s="140"/>
      <c r="J289" s="140"/>
    </row>
    <row r="290" spans="1:13" ht="30" customHeight="1" x14ac:dyDescent="0.3">
      <c r="A290" s="5"/>
      <c r="B290" s="3" t="s">
        <v>2</v>
      </c>
      <c r="C290" s="4" t="s">
        <v>42</v>
      </c>
      <c r="D290" s="4" t="s">
        <v>43</v>
      </c>
      <c r="E290" s="3" t="s">
        <v>9</v>
      </c>
      <c r="F290" s="3" t="s">
        <v>10</v>
      </c>
      <c r="G290" s="4" t="s">
        <v>11</v>
      </c>
      <c r="H290" s="4" t="s">
        <v>17</v>
      </c>
      <c r="I290" s="4" t="s">
        <v>12</v>
      </c>
      <c r="J290" s="4" t="s">
        <v>18</v>
      </c>
    </row>
    <row r="291" spans="1:13" s="89" customFormat="1" ht="60" customHeight="1" x14ac:dyDescent="0.3">
      <c r="A291" s="138"/>
      <c r="B291" s="32" t="s">
        <v>1956</v>
      </c>
      <c r="C291" s="88" t="s">
        <v>808</v>
      </c>
      <c r="D291" s="88" t="s">
        <v>195</v>
      </c>
      <c r="E291" s="88" t="s">
        <v>224</v>
      </c>
      <c r="F291" s="88" t="s">
        <v>13</v>
      </c>
      <c r="G291" s="15" t="s">
        <v>828</v>
      </c>
      <c r="H291" s="93">
        <v>37080</v>
      </c>
      <c r="I291" s="87"/>
      <c r="J291" s="86"/>
      <c r="M291" s="115"/>
    </row>
    <row r="292" spans="1:13" s="89" customFormat="1" ht="60" customHeight="1" x14ac:dyDescent="0.3">
      <c r="A292" s="138"/>
      <c r="B292" s="32" t="s">
        <v>1957</v>
      </c>
      <c r="C292" s="88" t="s">
        <v>809</v>
      </c>
      <c r="D292" s="88" t="s">
        <v>211</v>
      </c>
      <c r="E292" s="88" t="s">
        <v>224</v>
      </c>
      <c r="F292" s="88" t="s">
        <v>13</v>
      </c>
      <c r="G292" s="15" t="s">
        <v>828</v>
      </c>
      <c r="H292" s="93">
        <v>37080</v>
      </c>
      <c r="I292" s="87"/>
      <c r="J292" s="86"/>
      <c r="M292" s="115"/>
    </row>
    <row r="293" spans="1:13" s="89" customFormat="1" ht="20.100000000000001" customHeight="1" x14ac:dyDescent="0.3">
      <c r="A293" s="171" t="s">
        <v>818</v>
      </c>
      <c r="B293" s="172"/>
      <c r="C293" s="172"/>
      <c r="D293" s="172"/>
      <c r="E293" s="172"/>
      <c r="F293" s="172"/>
      <c r="G293" s="172"/>
      <c r="H293" s="172"/>
      <c r="I293" s="172"/>
      <c r="J293" s="173"/>
      <c r="M293" s="115"/>
    </row>
    <row r="294" spans="1:13" s="89" customFormat="1" ht="60" customHeight="1" x14ac:dyDescent="0.3">
      <c r="A294" s="97"/>
      <c r="B294" s="171" t="s">
        <v>1499</v>
      </c>
      <c r="C294" s="172"/>
      <c r="D294" s="172"/>
      <c r="E294" s="172"/>
      <c r="F294" s="172"/>
      <c r="G294" s="173"/>
      <c r="H294" s="61">
        <v>4850</v>
      </c>
      <c r="I294" s="87"/>
      <c r="J294" s="86"/>
      <c r="M294" s="115"/>
    </row>
    <row r="295" spans="1:13" s="89" customFormat="1" ht="60" customHeight="1" x14ac:dyDescent="0.3">
      <c r="A295" s="97"/>
      <c r="B295" s="171" t="s">
        <v>1498</v>
      </c>
      <c r="C295" s="172"/>
      <c r="D295" s="172"/>
      <c r="E295" s="172"/>
      <c r="F295" s="172"/>
      <c r="G295" s="173"/>
      <c r="H295" s="61">
        <v>7540</v>
      </c>
      <c r="I295" s="87"/>
      <c r="J295" s="86"/>
      <c r="M295" s="115"/>
    </row>
    <row r="296" spans="1:13" s="89" customFormat="1" ht="60" customHeight="1" x14ac:dyDescent="0.3">
      <c r="A296" s="98"/>
      <c r="B296" s="171" t="s">
        <v>1500</v>
      </c>
      <c r="C296" s="172"/>
      <c r="D296" s="172"/>
      <c r="E296" s="172"/>
      <c r="F296" s="172"/>
      <c r="G296" s="173"/>
      <c r="H296" s="61">
        <v>10420</v>
      </c>
      <c r="I296" s="87"/>
      <c r="J296" s="86"/>
      <c r="M296" s="115"/>
    </row>
    <row r="297" spans="1:13" s="89" customFormat="1" ht="60" customHeight="1" x14ac:dyDescent="0.3">
      <c r="A297" s="97"/>
      <c r="B297" s="171" t="s">
        <v>1501</v>
      </c>
      <c r="C297" s="172"/>
      <c r="D297" s="172"/>
      <c r="E297" s="172"/>
      <c r="F297" s="172"/>
      <c r="G297" s="173"/>
      <c r="H297" s="61">
        <v>13840</v>
      </c>
      <c r="I297" s="87"/>
      <c r="J297" s="86"/>
      <c r="M297" s="115"/>
    </row>
    <row r="298" spans="1:13" s="89" customFormat="1" ht="60" customHeight="1" x14ac:dyDescent="0.3">
      <c r="A298" s="97"/>
      <c r="B298" s="171" t="s">
        <v>970</v>
      </c>
      <c r="C298" s="172"/>
      <c r="D298" s="172"/>
      <c r="E298" s="172"/>
      <c r="F298" s="172"/>
      <c r="G298" s="173"/>
      <c r="H298" s="61">
        <v>8950</v>
      </c>
      <c r="I298" s="87"/>
      <c r="J298" s="86"/>
      <c r="M298" s="115"/>
    </row>
    <row r="299" spans="1:13" s="89" customFormat="1" ht="60" customHeight="1" x14ac:dyDescent="0.3">
      <c r="A299" s="97"/>
      <c r="B299" s="171" t="s">
        <v>1158</v>
      </c>
      <c r="C299" s="172"/>
      <c r="D299" s="172"/>
      <c r="E299" s="172"/>
      <c r="F299" s="172"/>
      <c r="G299" s="173"/>
      <c r="H299" s="61">
        <v>18000</v>
      </c>
      <c r="I299" s="87"/>
      <c r="J299" s="86"/>
      <c r="M299" s="115"/>
    </row>
    <row r="300" spans="1:13" s="89" customFormat="1" ht="60" customHeight="1" x14ac:dyDescent="0.3">
      <c r="A300" s="98"/>
      <c r="B300" s="171" t="s">
        <v>971</v>
      </c>
      <c r="C300" s="172"/>
      <c r="D300" s="172"/>
      <c r="E300" s="172"/>
      <c r="F300" s="172"/>
      <c r="G300" s="173"/>
      <c r="H300" s="61">
        <v>19400</v>
      </c>
      <c r="I300" s="87"/>
      <c r="J300" s="86"/>
      <c r="M300" s="115"/>
    </row>
    <row r="301" spans="1:13" s="89" customFormat="1" ht="60" customHeight="1" x14ac:dyDescent="0.3">
      <c r="A301" s="92"/>
      <c r="B301" s="171" t="s">
        <v>1480</v>
      </c>
      <c r="C301" s="172"/>
      <c r="D301" s="172"/>
      <c r="E301" s="172"/>
      <c r="F301" s="172"/>
      <c r="G301" s="173"/>
      <c r="H301" s="61">
        <v>27070</v>
      </c>
      <c r="I301" s="87"/>
      <c r="J301" s="86"/>
      <c r="M301" s="115"/>
    </row>
    <row r="302" spans="1:13" s="89" customFormat="1" ht="60" customHeight="1" x14ac:dyDescent="0.3">
      <c r="A302" s="92"/>
      <c r="B302" s="171" t="s">
        <v>1481</v>
      </c>
      <c r="C302" s="172"/>
      <c r="D302" s="172"/>
      <c r="E302" s="172"/>
      <c r="F302" s="172"/>
      <c r="G302" s="173"/>
      <c r="H302" s="61">
        <v>28300</v>
      </c>
      <c r="I302" s="87"/>
      <c r="J302" s="86"/>
      <c r="M302" s="115"/>
    </row>
    <row r="303" spans="1:13" s="89" customFormat="1" ht="20.100000000000001" customHeight="1" x14ac:dyDescent="0.3">
      <c r="A303" s="171" t="s">
        <v>1479</v>
      </c>
      <c r="B303" s="172"/>
      <c r="C303" s="172"/>
      <c r="D303" s="172"/>
      <c r="E303" s="172"/>
      <c r="F303" s="172"/>
      <c r="G303" s="172"/>
      <c r="H303" s="172"/>
      <c r="I303" s="172"/>
      <c r="J303" s="173"/>
      <c r="M303" s="115"/>
    </row>
    <row r="304" spans="1:13" s="89" customFormat="1" ht="60" customHeight="1" x14ac:dyDescent="0.3">
      <c r="A304" s="98"/>
      <c r="B304" s="171" t="s">
        <v>819</v>
      </c>
      <c r="C304" s="172"/>
      <c r="D304" s="172"/>
      <c r="E304" s="172"/>
      <c r="F304" s="172"/>
      <c r="G304" s="173"/>
      <c r="H304" s="86">
        <v>2850</v>
      </c>
      <c r="I304" s="87"/>
      <c r="J304" s="86"/>
      <c r="M304" s="115"/>
    </row>
    <row r="305" spans="1:13" s="89" customFormat="1" ht="60" customHeight="1" x14ac:dyDescent="0.3">
      <c r="A305" s="97"/>
      <c r="B305" s="174" t="s">
        <v>1694</v>
      </c>
      <c r="C305" s="143"/>
      <c r="D305" s="143"/>
      <c r="E305" s="143"/>
      <c r="F305" s="143"/>
      <c r="G305" s="143"/>
      <c r="H305" s="86">
        <v>13400</v>
      </c>
      <c r="I305" s="87"/>
      <c r="J305" s="86"/>
      <c r="M305" s="115"/>
    </row>
    <row r="306" spans="1:13" s="89" customFormat="1" x14ac:dyDescent="0.3">
      <c r="M306" s="115"/>
    </row>
    <row r="307" spans="1:13" s="89" customFormat="1" x14ac:dyDescent="0.3">
      <c r="M307" s="115"/>
    </row>
    <row r="308" spans="1:13" s="89" customFormat="1" x14ac:dyDescent="0.3">
      <c r="M308" s="115"/>
    </row>
    <row r="309" spans="1:13" s="89" customFormat="1" x14ac:dyDescent="0.3">
      <c r="M309" s="115"/>
    </row>
    <row r="310" spans="1:13" s="89" customFormat="1" x14ac:dyDescent="0.3">
      <c r="M310" s="115"/>
    </row>
    <row r="9561" spans="7:7" x14ac:dyDescent="0.3">
      <c r="G9561" s="1">
        <v>96090</v>
      </c>
    </row>
  </sheetData>
  <mergeCells count="142">
    <mergeCell ref="B299:G299"/>
    <mergeCell ref="B300:G300"/>
    <mergeCell ref="B301:G301"/>
    <mergeCell ref="B302:G302"/>
    <mergeCell ref="A303:J303"/>
    <mergeCell ref="B304:G304"/>
    <mergeCell ref="B305:G305"/>
    <mergeCell ref="A285:J285"/>
    <mergeCell ref="B286:G286"/>
    <mergeCell ref="B287:G287"/>
    <mergeCell ref="B294:G294"/>
    <mergeCell ref="B295:G295"/>
    <mergeCell ref="B296:G296"/>
    <mergeCell ref="B297:G297"/>
    <mergeCell ref="B298:G298"/>
    <mergeCell ref="A289:J289"/>
    <mergeCell ref="A291:A292"/>
    <mergeCell ref="A288:J288"/>
    <mergeCell ref="A293:J293"/>
    <mergeCell ref="B280:G280"/>
    <mergeCell ref="B281:G281"/>
    <mergeCell ref="B282:G282"/>
    <mergeCell ref="B283:G283"/>
    <mergeCell ref="B284:G284"/>
    <mergeCell ref="B265:G265"/>
    <mergeCell ref="B266:G266"/>
    <mergeCell ref="A267:J267"/>
    <mergeCell ref="B268:G268"/>
    <mergeCell ref="B269:G269"/>
    <mergeCell ref="B276:G276"/>
    <mergeCell ref="A273:A274"/>
    <mergeCell ref="A275:J275"/>
    <mergeCell ref="A270:J270"/>
    <mergeCell ref="A271:J271"/>
    <mergeCell ref="B277:G277"/>
    <mergeCell ref="B278:G278"/>
    <mergeCell ref="B279:G279"/>
    <mergeCell ref="A247:J247"/>
    <mergeCell ref="A249:A256"/>
    <mergeCell ref="B263:G263"/>
    <mergeCell ref="B264:G264"/>
    <mergeCell ref="B261:G261"/>
    <mergeCell ref="B262:G262"/>
    <mergeCell ref="B241:G241"/>
    <mergeCell ref="B242:G242"/>
    <mergeCell ref="B244:G244"/>
    <mergeCell ref="B245:G245"/>
    <mergeCell ref="A257:J257"/>
    <mergeCell ref="B258:G258"/>
    <mergeCell ref="B259:G259"/>
    <mergeCell ref="B260:G260"/>
    <mergeCell ref="A243:J243"/>
    <mergeCell ref="A246:J246"/>
    <mergeCell ref="A186:J186"/>
    <mergeCell ref="A187:J187"/>
    <mergeCell ref="A189:A198"/>
    <mergeCell ref="A199:J199"/>
    <mergeCell ref="A177:J177"/>
    <mergeCell ref="A180:J180"/>
    <mergeCell ref="A93:A98"/>
    <mergeCell ref="B239:G239"/>
    <mergeCell ref="B240:G240"/>
    <mergeCell ref="A120:A122"/>
    <mergeCell ref="A130:J130"/>
    <mergeCell ref="A132:A134"/>
    <mergeCell ref="A229:J229"/>
    <mergeCell ref="A231:A232"/>
    <mergeCell ref="A233:J233"/>
    <mergeCell ref="A181:J181"/>
    <mergeCell ref="A183:A185"/>
    <mergeCell ref="A200:J200"/>
    <mergeCell ref="A228:J228"/>
    <mergeCell ref="A202:A218"/>
    <mergeCell ref="B225:G225"/>
    <mergeCell ref="B226:G226"/>
    <mergeCell ref="B227:G227"/>
    <mergeCell ref="A219:J219"/>
    <mergeCell ref="A102:A104"/>
    <mergeCell ref="A105:J105"/>
    <mergeCell ref="A118:J118"/>
    <mergeCell ref="A112:J112"/>
    <mergeCell ref="A114:A116"/>
    <mergeCell ref="A117:J117"/>
    <mergeCell ref="A106:J106"/>
    <mergeCell ref="A108:A110"/>
    <mergeCell ref="A111:J111"/>
    <mergeCell ref="A1:J1"/>
    <mergeCell ref="A47:J47"/>
    <mergeCell ref="A48:G48"/>
    <mergeCell ref="A49:J49"/>
    <mergeCell ref="A50:J50"/>
    <mergeCell ref="A52:A55"/>
    <mergeCell ref="A56:J56"/>
    <mergeCell ref="A57:G57"/>
    <mergeCell ref="A58:J58"/>
    <mergeCell ref="A3:A11"/>
    <mergeCell ref="A13:J13"/>
    <mergeCell ref="A15:A46"/>
    <mergeCell ref="A12:J12"/>
    <mergeCell ref="A59:J59"/>
    <mergeCell ref="A61:A64"/>
    <mergeCell ref="A65:J65"/>
    <mergeCell ref="A66:J66"/>
    <mergeCell ref="A68:A71"/>
    <mergeCell ref="A72:J72"/>
    <mergeCell ref="A73:J73"/>
    <mergeCell ref="A75:A77"/>
    <mergeCell ref="A78:J78"/>
    <mergeCell ref="A79:J79"/>
    <mergeCell ref="A81:A83"/>
    <mergeCell ref="A84:J84"/>
    <mergeCell ref="A85:J85"/>
    <mergeCell ref="A87:A89"/>
    <mergeCell ref="A142:J142"/>
    <mergeCell ref="A123:J123"/>
    <mergeCell ref="A135:J135"/>
    <mergeCell ref="A176:J176"/>
    <mergeCell ref="A143:J143"/>
    <mergeCell ref="A161:J161"/>
    <mergeCell ref="A162:J162"/>
    <mergeCell ref="A136:J136"/>
    <mergeCell ref="A137:J137"/>
    <mergeCell ref="A139:A141"/>
    <mergeCell ref="A124:J124"/>
    <mergeCell ref="A126:A128"/>
    <mergeCell ref="A129:J129"/>
    <mergeCell ref="A145:A160"/>
    <mergeCell ref="A164:A175"/>
    <mergeCell ref="A90:J90"/>
    <mergeCell ref="A91:J91"/>
    <mergeCell ref="A99:J99"/>
    <mergeCell ref="A100:J100"/>
    <mergeCell ref="B238:G238"/>
    <mergeCell ref="B220:G220"/>
    <mergeCell ref="B221:G221"/>
    <mergeCell ref="B222:G222"/>
    <mergeCell ref="B223:G223"/>
    <mergeCell ref="B224:G224"/>
    <mergeCell ref="B234:G234"/>
    <mergeCell ref="B235:G235"/>
    <mergeCell ref="B236:G236"/>
    <mergeCell ref="B237:G237"/>
  </mergeCells>
  <hyperlinks>
    <hyperlink ref="B7" r:id="rId1"/>
    <hyperlink ref="B8" r:id="rId2"/>
    <hyperlink ref="B9" r:id="rId3"/>
    <hyperlink ref="B10" r:id="rId4"/>
    <hyperlink ref="B11" r:id="rId5"/>
    <hyperlink ref="B3" r:id="rId6"/>
    <hyperlink ref="B4" r:id="rId7"/>
    <hyperlink ref="B5" r:id="rId8"/>
    <hyperlink ref="B6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  <hyperlink ref="B22" r:id="rId17"/>
    <hyperlink ref="B23" r:id="rId18"/>
    <hyperlink ref="B52" r:id="rId19"/>
    <hyperlink ref="B53" r:id="rId20"/>
    <hyperlink ref="B54" r:id="rId21"/>
    <hyperlink ref="B55" r:id="rId22"/>
    <hyperlink ref="B64" r:id="rId23"/>
    <hyperlink ref="B63" r:id="rId24"/>
    <hyperlink ref="B62" r:id="rId25"/>
    <hyperlink ref="B61" r:id="rId26"/>
    <hyperlink ref="B68" r:id="rId27"/>
    <hyperlink ref="B69" r:id="rId28"/>
    <hyperlink ref="B70" r:id="rId29"/>
    <hyperlink ref="B71" r:id="rId30"/>
    <hyperlink ref="B75" r:id="rId31"/>
    <hyperlink ref="B76" r:id="rId32"/>
    <hyperlink ref="B77" r:id="rId33"/>
    <hyperlink ref="B81" r:id="rId34"/>
    <hyperlink ref="B82" r:id="rId35"/>
    <hyperlink ref="B83" r:id="rId36"/>
    <hyperlink ref="B87" r:id="rId37"/>
    <hyperlink ref="B88" r:id="rId38"/>
    <hyperlink ref="B89" r:id="rId39"/>
    <hyperlink ref="B93" r:id="rId40"/>
    <hyperlink ref="B94" r:id="rId41"/>
    <hyperlink ref="B95" r:id="rId42"/>
    <hyperlink ref="B146" r:id="rId43"/>
    <hyperlink ref="B150" r:id="rId44"/>
    <hyperlink ref="B148" r:id="rId45"/>
    <hyperlink ref="B147" r:id="rId46"/>
    <hyperlink ref="B152" r:id="rId47"/>
    <hyperlink ref="B151" r:id="rId48"/>
    <hyperlink ref="B154" r:id="rId49"/>
    <hyperlink ref="B155" r:id="rId50"/>
    <hyperlink ref="B158" r:id="rId51"/>
    <hyperlink ref="B160" r:id="rId52"/>
    <hyperlink ref="B159" r:id="rId53"/>
    <hyperlink ref="B165" r:id="rId54"/>
    <hyperlink ref="B166" r:id="rId55"/>
    <hyperlink ref="B168" r:id="rId56"/>
    <hyperlink ref="B169" r:id="rId57"/>
    <hyperlink ref="B171" r:id="rId58"/>
    <hyperlink ref="B172" r:id="rId59"/>
    <hyperlink ref="B174" r:id="rId60"/>
    <hyperlink ref="B175" r:id="rId61"/>
    <hyperlink ref="B179" r:id="rId62"/>
    <hyperlink ref="B183" r:id="rId63"/>
    <hyperlink ref="B184" r:id="rId64"/>
    <hyperlink ref="B185" r:id="rId65"/>
    <hyperlink ref="B189" r:id="rId66"/>
    <hyperlink ref="B190" r:id="rId67"/>
    <hyperlink ref="B191" r:id="rId68"/>
    <hyperlink ref="B192" r:id="rId69"/>
    <hyperlink ref="B193" r:id="rId70"/>
    <hyperlink ref="B194" r:id="rId71"/>
    <hyperlink ref="B195" r:id="rId72"/>
    <hyperlink ref="B196" r:id="rId73"/>
    <hyperlink ref="B197" r:id="rId74"/>
    <hyperlink ref="B198" r:id="rId75"/>
    <hyperlink ref="B273" r:id="rId76"/>
    <hyperlink ref="B274" r:id="rId77"/>
    <hyperlink ref="B291" r:id="rId78" display="4D-B-23-1000"/>
    <hyperlink ref="B292" r:id="rId79" display="4D-B-23-2000"/>
    <hyperlink ref="B231" r:id="rId80" display="4D-LM-2-1000"/>
    <hyperlink ref="B232" r:id="rId81" display="4D-LM-2-2000"/>
    <hyperlink ref="B102" r:id="rId82"/>
    <hyperlink ref="B103" r:id="rId83"/>
    <hyperlink ref="B104" r:id="rId84"/>
    <hyperlink ref="B108" r:id="rId85"/>
    <hyperlink ref="B109" r:id="rId86"/>
    <hyperlink ref="B110" r:id="rId87"/>
    <hyperlink ref="B114" r:id="rId88"/>
    <hyperlink ref="B115" r:id="rId89"/>
    <hyperlink ref="B116" r:id="rId90"/>
    <hyperlink ref="B120" r:id="rId91"/>
    <hyperlink ref="B121" r:id="rId92"/>
    <hyperlink ref="B122" r:id="rId93"/>
    <hyperlink ref="B126" r:id="rId94"/>
    <hyperlink ref="B127" r:id="rId95"/>
    <hyperlink ref="B128" r:id="rId96"/>
    <hyperlink ref="B24" r:id="rId97"/>
    <hyperlink ref="B26" r:id="rId98"/>
    <hyperlink ref="B202" r:id="rId99" display="4D-PM-1-500"/>
    <hyperlink ref="B203" r:id="rId100" display="4D-PM-1-1000"/>
    <hyperlink ref="B204" r:id="rId101" display="4D-PM-2-500-А"/>
    <hyperlink ref="B205" r:id="rId102" display="4D-PM-2-1000-А"/>
    <hyperlink ref="B206" r:id="rId103" display="4D-PM-2-1500-А"/>
    <hyperlink ref="B210" r:id="rId104" display="4D-PM-3-1000-А"/>
    <hyperlink ref="B211" r:id="rId105" display="4D-PM-3-2000-А"/>
    <hyperlink ref="B212" r:id="rId106" display="4D-PM-3-3000-А"/>
    <hyperlink ref="B216" r:id="rId107" display="4D-PM-7-1000-А"/>
    <hyperlink ref="B217" r:id="rId108" display="4D-PM-7-2000-А"/>
    <hyperlink ref="B218" r:id="rId109" display="4D-PM-7-3000-А"/>
    <hyperlink ref="B207" r:id="rId110"/>
    <hyperlink ref="B208" r:id="rId111"/>
    <hyperlink ref="B209" r:id="rId112"/>
    <hyperlink ref="B213" r:id="rId113"/>
    <hyperlink ref="B214" r:id="rId114"/>
    <hyperlink ref="B215" r:id="rId115"/>
    <hyperlink ref="B25" r:id="rId116"/>
    <hyperlink ref="B156" r:id="rId117"/>
    <hyperlink ref="B145" r:id="rId118"/>
    <hyperlink ref="B149" r:id="rId119"/>
    <hyperlink ref="B153" r:id="rId120"/>
    <hyperlink ref="B157" r:id="rId121"/>
  </hyperlinks>
  <pageMargins left="0.7" right="0.7" top="0.75" bottom="0.75" header="0.3" footer="0.3"/>
  <pageSetup paperSize="9" orientation="portrait" r:id="rId122"/>
  <drawing r:id="rId12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7424"/>
  <sheetViews>
    <sheetView topLeftCell="A268" zoomScale="90" zoomScaleNormal="90" workbookViewId="0">
      <selection activeCell="I255" sqref="I255:J266"/>
    </sheetView>
  </sheetViews>
  <sheetFormatPr defaultColWidth="9.109375" defaultRowHeight="13.8" x14ac:dyDescent="0.3"/>
  <cols>
    <col min="1" max="1" width="23.33203125" style="1" customWidth="1"/>
    <col min="2" max="2" width="16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7.88671875" style="12" hidden="1" customWidth="1"/>
    <col min="13" max="13" width="0" style="12" hidden="1" customWidth="1"/>
    <col min="14" max="16384" width="9.109375" style="1"/>
  </cols>
  <sheetData>
    <row r="1" spans="1:10" ht="39.9" customHeight="1" x14ac:dyDescent="0.3">
      <c r="A1" s="139" t="s">
        <v>1326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30" customHeight="1" x14ac:dyDescent="0.3">
      <c r="A2" s="5"/>
      <c r="B2" s="3" t="s">
        <v>2</v>
      </c>
      <c r="C2" s="4" t="s">
        <v>42</v>
      </c>
      <c r="D2" s="4" t="s">
        <v>1409</v>
      </c>
      <c r="E2" s="3" t="s">
        <v>9</v>
      </c>
      <c r="F2" s="3" t="s">
        <v>10</v>
      </c>
      <c r="G2" s="4" t="s">
        <v>11</v>
      </c>
      <c r="H2" s="4" t="s">
        <v>17</v>
      </c>
      <c r="I2" s="4"/>
      <c r="J2" s="4"/>
    </row>
    <row r="3" spans="1:10" ht="120" customHeight="1" x14ac:dyDescent="0.3">
      <c r="A3" s="5"/>
      <c r="B3" s="6" t="s">
        <v>939</v>
      </c>
      <c r="C3" s="5" t="s">
        <v>76</v>
      </c>
      <c r="D3" s="5" t="s">
        <v>1897</v>
      </c>
      <c r="E3" s="5" t="s">
        <v>950</v>
      </c>
      <c r="F3" s="5" t="s">
        <v>13</v>
      </c>
      <c r="G3" s="5" t="s">
        <v>474</v>
      </c>
      <c r="H3" s="9">
        <f>CEILING(2770*USD,10)</f>
        <v>211220</v>
      </c>
      <c r="I3" s="8"/>
      <c r="J3" s="9"/>
    </row>
    <row r="4" spans="1:10" ht="20.100000000000001" customHeight="1" x14ac:dyDescent="0.3">
      <c r="A4" s="159" t="s">
        <v>67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0" ht="20.100000000000001" customHeight="1" x14ac:dyDescent="0.3">
      <c r="A5" s="181" t="s">
        <v>941</v>
      </c>
      <c r="B5" s="182"/>
      <c r="C5" s="182"/>
      <c r="D5" s="182"/>
      <c r="E5" s="182"/>
      <c r="F5" s="182"/>
      <c r="G5" s="183"/>
      <c r="H5" s="9">
        <f>CEILING(1250*USD,10)</f>
        <v>95320</v>
      </c>
      <c r="I5" s="8"/>
      <c r="J5" s="9"/>
    </row>
    <row r="6" spans="1:10" ht="20.100000000000001" customHeight="1" x14ac:dyDescent="0.3">
      <c r="A6" s="181" t="s">
        <v>940</v>
      </c>
      <c r="B6" s="182"/>
      <c r="C6" s="182"/>
      <c r="D6" s="182"/>
      <c r="E6" s="182"/>
      <c r="F6" s="182"/>
      <c r="G6" s="183"/>
      <c r="H6" s="9">
        <f>CEILING(61*USD,10)</f>
        <v>4660</v>
      </c>
      <c r="I6" s="8"/>
      <c r="J6" s="9"/>
    </row>
    <row r="7" spans="1:10" ht="20.100000000000001" customHeight="1" x14ac:dyDescent="0.3">
      <c r="A7" s="181" t="s">
        <v>942</v>
      </c>
      <c r="B7" s="182"/>
      <c r="C7" s="182"/>
      <c r="D7" s="182"/>
      <c r="E7" s="182"/>
      <c r="F7" s="182"/>
      <c r="G7" s="183"/>
      <c r="H7" s="9">
        <f>CEILING(1715*USD,10)</f>
        <v>130770</v>
      </c>
      <c r="I7" s="8"/>
      <c r="J7" s="9"/>
    </row>
    <row r="8" spans="1:10" ht="20.100000000000001" customHeight="1" x14ac:dyDescent="0.3">
      <c r="A8" s="181" t="s">
        <v>943</v>
      </c>
      <c r="B8" s="182"/>
      <c r="C8" s="182"/>
      <c r="D8" s="182"/>
      <c r="E8" s="182"/>
      <c r="F8" s="182"/>
      <c r="G8" s="183"/>
      <c r="H8" s="9">
        <f>CEILING(1120*USD,10)</f>
        <v>85400</v>
      </c>
      <c r="I8" s="8"/>
      <c r="J8" s="9"/>
    </row>
    <row r="9" spans="1:10" ht="20.100000000000001" customHeight="1" x14ac:dyDescent="0.3">
      <c r="A9" s="181" t="s">
        <v>944</v>
      </c>
      <c r="B9" s="182"/>
      <c r="C9" s="182"/>
      <c r="D9" s="182"/>
      <c r="E9" s="182"/>
      <c r="F9" s="182"/>
      <c r="G9" s="183"/>
      <c r="H9" s="9">
        <f>CEILING(1420*USD,10)</f>
        <v>108280</v>
      </c>
      <c r="I9" s="8"/>
      <c r="J9" s="9"/>
    </row>
    <row r="10" spans="1:10" ht="20.100000000000001" customHeight="1" x14ac:dyDescent="0.3">
      <c r="A10" s="181" t="s">
        <v>945</v>
      </c>
      <c r="B10" s="182"/>
      <c r="C10" s="182"/>
      <c r="D10" s="182"/>
      <c r="E10" s="182"/>
      <c r="F10" s="182"/>
      <c r="G10" s="183"/>
      <c r="H10" s="9">
        <v>1630</v>
      </c>
      <c r="I10" s="8"/>
      <c r="J10" s="9"/>
    </row>
    <row r="11" spans="1:10" ht="20.100000000000001" customHeight="1" x14ac:dyDescent="0.3">
      <c r="A11" s="147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ht="39.9" customHeight="1" x14ac:dyDescent="0.3">
      <c r="A12" s="150" t="s">
        <v>1374</v>
      </c>
      <c r="B12" s="151"/>
      <c r="C12" s="151"/>
      <c r="D12" s="151"/>
      <c r="E12" s="151"/>
      <c r="F12" s="151"/>
      <c r="G12" s="151"/>
      <c r="H12" s="151"/>
      <c r="I12" s="151"/>
      <c r="J12" s="151"/>
    </row>
    <row r="13" spans="1:10" ht="30" customHeight="1" x14ac:dyDescent="0.3">
      <c r="A13" s="57"/>
      <c r="B13" s="38" t="s">
        <v>2</v>
      </c>
      <c r="C13" s="4" t="s">
        <v>42</v>
      </c>
      <c r="D13" s="38" t="s">
        <v>43</v>
      </c>
      <c r="E13" s="38" t="s">
        <v>9</v>
      </c>
      <c r="F13" s="38" t="s">
        <v>10</v>
      </c>
      <c r="G13" s="4" t="s">
        <v>11</v>
      </c>
      <c r="H13" s="4" t="s">
        <v>17</v>
      </c>
      <c r="I13" s="4"/>
      <c r="J13" s="4"/>
    </row>
    <row r="14" spans="1:10" ht="120" customHeight="1" x14ac:dyDescent="0.3">
      <c r="A14" s="57"/>
      <c r="B14" s="6" t="s">
        <v>1327</v>
      </c>
      <c r="C14" s="57" t="s">
        <v>69</v>
      </c>
      <c r="D14" s="57" t="s">
        <v>70</v>
      </c>
      <c r="E14" s="57" t="s">
        <v>14</v>
      </c>
      <c r="F14" s="57" t="s">
        <v>15</v>
      </c>
      <c r="G14" s="57" t="s">
        <v>71</v>
      </c>
      <c r="H14" s="25">
        <f>CEILING(4170*USD,10)</f>
        <v>317970</v>
      </c>
      <c r="I14" s="60"/>
      <c r="J14" s="25"/>
    </row>
    <row r="15" spans="1:10" ht="20.100000000000001" customHeight="1" x14ac:dyDescent="0.3">
      <c r="A15" s="156" t="s">
        <v>67</v>
      </c>
      <c r="B15" s="157"/>
      <c r="C15" s="157"/>
      <c r="D15" s="157"/>
      <c r="E15" s="157"/>
      <c r="F15" s="157"/>
      <c r="G15" s="157"/>
      <c r="H15" s="157"/>
      <c r="I15" s="157"/>
      <c r="J15" s="184"/>
    </row>
    <row r="16" spans="1:10" ht="20.100000000000001" customHeight="1" x14ac:dyDescent="0.3">
      <c r="A16" s="181" t="s">
        <v>1375</v>
      </c>
      <c r="B16" s="182"/>
      <c r="C16" s="182"/>
      <c r="D16" s="182"/>
      <c r="E16" s="182"/>
      <c r="F16" s="182"/>
      <c r="G16" s="183"/>
      <c r="H16" s="9">
        <v>14790</v>
      </c>
      <c r="I16" s="8"/>
      <c r="J16" s="9"/>
    </row>
    <row r="17" spans="1:12" ht="20.100000000000001" customHeight="1" x14ac:dyDescent="0.3">
      <c r="A17" s="181" t="s">
        <v>1135</v>
      </c>
      <c r="B17" s="182"/>
      <c r="C17" s="182"/>
      <c r="D17" s="182"/>
      <c r="E17" s="182"/>
      <c r="F17" s="182"/>
      <c r="G17" s="183"/>
      <c r="H17" s="9">
        <v>1224</v>
      </c>
      <c r="I17" s="8"/>
      <c r="J17" s="9"/>
    </row>
    <row r="18" spans="1:12" ht="20.100000000000001" customHeight="1" x14ac:dyDescent="0.3">
      <c r="A18" s="181" t="s">
        <v>945</v>
      </c>
      <c r="B18" s="182"/>
      <c r="C18" s="182"/>
      <c r="D18" s="182"/>
      <c r="E18" s="182"/>
      <c r="F18" s="182"/>
      <c r="G18" s="183"/>
      <c r="H18" s="9">
        <v>1630</v>
      </c>
      <c r="I18" s="8"/>
      <c r="J18" s="9"/>
    </row>
    <row r="19" spans="1:12" ht="20.100000000000001" customHeight="1" x14ac:dyDescent="0.3">
      <c r="A19" s="181" t="s">
        <v>72</v>
      </c>
      <c r="B19" s="182"/>
      <c r="C19" s="182"/>
      <c r="D19" s="182"/>
      <c r="E19" s="182"/>
      <c r="F19" s="182"/>
      <c r="G19" s="183"/>
      <c r="H19" s="9">
        <f>CEILING(640*USD,10)</f>
        <v>48800</v>
      </c>
      <c r="I19" s="8"/>
      <c r="J19" s="9"/>
    </row>
    <row r="20" spans="1:12" ht="20.100000000000001" customHeight="1" x14ac:dyDescent="0.3">
      <c r="A20" s="181" t="s">
        <v>1136</v>
      </c>
      <c r="B20" s="182"/>
      <c r="C20" s="182"/>
      <c r="D20" s="182"/>
      <c r="E20" s="182"/>
      <c r="F20" s="182"/>
      <c r="G20" s="183"/>
      <c r="H20" s="9">
        <f>CEILING(670*USD,10)</f>
        <v>51090</v>
      </c>
      <c r="I20" s="8"/>
      <c r="J20" s="9"/>
    </row>
    <row r="21" spans="1:12" ht="20.100000000000001" customHeight="1" x14ac:dyDescent="0.3">
      <c r="A21" s="181" t="s">
        <v>73</v>
      </c>
      <c r="B21" s="182"/>
      <c r="C21" s="182"/>
      <c r="D21" s="182"/>
      <c r="E21" s="182"/>
      <c r="F21" s="182"/>
      <c r="G21" s="183"/>
      <c r="H21" s="9">
        <f>CEILING(367*USD,10)</f>
        <v>27990</v>
      </c>
      <c r="I21" s="8"/>
      <c r="J21" s="9"/>
    </row>
    <row r="22" spans="1:12" ht="20.100000000000001" customHeight="1" x14ac:dyDescent="0.3">
      <c r="A22" s="181" t="s">
        <v>74</v>
      </c>
      <c r="B22" s="182"/>
      <c r="C22" s="182"/>
      <c r="D22" s="182"/>
      <c r="E22" s="182"/>
      <c r="F22" s="182"/>
      <c r="G22" s="183"/>
      <c r="H22" s="9">
        <f>CEILING(455*USD,10)</f>
        <v>34700</v>
      </c>
      <c r="I22" s="8"/>
      <c r="J22" s="9"/>
    </row>
    <row r="23" spans="1:12" ht="20.100000000000001" customHeight="1" x14ac:dyDescent="0.3">
      <c r="A23" s="181" t="s">
        <v>75</v>
      </c>
      <c r="B23" s="182"/>
      <c r="C23" s="182"/>
      <c r="D23" s="182"/>
      <c r="E23" s="182"/>
      <c r="F23" s="182"/>
      <c r="G23" s="183"/>
      <c r="H23" s="9">
        <f>CEILING(1020*USD,10)</f>
        <v>77780</v>
      </c>
      <c r="I23" s="8"/>
      <c r="J23" s="9"/>
    </row>
    <row r="24" spans="1:12" ht="20.100000000000001" customHeight="1" x14ac:dyDescent="0.3">
      <c r="A24" s="147"/>
      <c r="B24" s="147"/>
      <c r="C24" s="147"/>
      <c r="D24" s="147"/>
      <c r="E24" s="147"/>
      <c r="F24" s="147"/>
      <c r="G24" s="147"/>
      <c r="H24" s="147"/>
      <c r="I24" s="147"/>
      <c r="J24" s="147"/>
    </row>
    <row r="25" spans="1:12" ht="39.9" customHeight="1" x14ac:dyDescent="0.3">
      <c r="A25" s="150" t="s">
        <v>1376</v>
      </c>
      <c r="B25" s="151"/>
      <c r="C25" s="151"/>
      <c r="D25" s="151"/>
      <c r="E25" s="151"/>
      <c r="F25" s="151"/>
      <c r="G25" s="151"/>
      <c r="H25" s="151"/>
      <c r="I25" s="151"/>
      <c r="J25" s="151"/>
    </row>
    <row r="26" spans="1:12" ht="30" customHeight="1" x14ac:dyDescent="0.3">
      <c r="A26" s="57"/>
      <c r="B26" s="38" t="s">
        <v>2</v>
      </c>
      <c r="C26" s="4" t="s">
        <v>42</v>
      </c>
      <c r="D26" s="38" t="s">
        <v>43</v>
      </c>
      <c r="E26" s="38" t="s">
        <v>9</v>
      </c>
      <c r="F26" s="38" t="s">
        <v>10</v>
      </c>
      <c r="G26" s="4" t="s">
        <v>11</v>
      </c>
      <c r="H26" s="4" t="s">
        <v>17</v>
      </c>
      <c r="I26" s="4"/>
      <c r="J26" s="4"/>
    </row>
    <row r="27" spans="1:12" ht="120" customHeight="1" x14ac:dyDescent="0.3">
      <c r="A27" s="57"/>
      <c r="B27" s="6" t="s">
        <v>1328</v>
      </c>
      <c r="C27" s="57" t="s">
        <v>46</v>
      </c>
      <c r="D27" s="57" t="s">
        <v>47</v>
      </c>
      <c r="E27" s="57" t="s">
        <v>14</v>
      </c>
      <c r="F27" s="57" t="s">
        <v>15</v>
      </c>
      <c r="G27" s="57" t="s">
        <v>71</v>
      </c>
      <c r="H27" s="25">
        <f>CEILING(2740*USD,10)</f>
        <v>208930</v>
      </c>
      <c r="I27" s="60"/>
      <c r="J27" s="25"/>
      <c r="L27" s="12" t="s">
        <v>1810</v>
      </c>
    </row>
    <row r="28" spans="1:12" ht="20.100000000000001" customHeight="1" x14ac:dyDescent="0.3">
      <c r="A28" s="156" t="s">
        <v>67</v>
      </c>
      <c r="B28" s="157"/>
      <c r="C28" s="157"/>
      <c r="D28" s="157"/>
      <c r="E28" s="157"/>
      <c r="F28" s="157"/>
      <c r="G28" s="157"/>
      <c r="H28" s="157"/>
      <c r="I28" s="157"/>
      <c r="J28" s="184"/>
    </row>
    <row r="29" spans="1:12" ht="20.100000000000001" customHeight="1" x14ac:dyDescent="0.3">
      <c r="A29" s="181" t="s">
        <v>1375</v>
      </c>
      <c r="B29" s="182"/>
      <c r="C29" s="182"/>
      <c r="D29" s="182"/>
      <c r="E29" s="182"/>
      <c r="F29" s="182"/>
      <c r="G29" s="183"/>
      <c r="H29" s="9">
        <v>14790</v>
      </c>
      <c r="I29" s="8"/>
      <c r="J29" s="9"/>
    </row>
    <row r="30" spans="1:12" ht="20.100000000000001" customHeight="1" x14ac:dyDescent="0.3">
      <c r="A30" s="181" t="s">
        <v>1135</v>
      </c>
      <c r="B30" s="182"/>
      <c r="C30" s="182"/>
      <c r="D30" s="182"/>
      <c r="E30" s="182"/>
      <c r="F30" s="182"/>
      <c r="G30" s="183"/>
      <c r="H30" s="9">
        <v>1224</v>
      </c>
      <c r="I30" s="8"/>
      <c r="J30" s="9"/>
    </row>
    <row r="31" spans="1:12" ht="20.100000000000001" customHeight="1" x14ac:dyDescent="0.3">
      <c r="A31" s="181" t="s">
        <v>945</v>
      </c>
      <c r="B31" s="182"/>
      <c r="C31" s="182"/>
      <c r="D31" s="182"/>
      <c r="E31" s="182"/>
      <c r="F31" s="182"/>
      <c r="G31" s="183"/>
      <c r="H31" s="9">
        <v>1630</v>
      </c>
      <c r="I31" s="8"/>
      <c r="J31" s="9"/>
    </row>
    <row r="32" spans="1:12" ht="20.100000000000001" customHeight="1" x14ac:dyDescent="0.3">
      <c r="A32" s="181" t="s">
        <v>72</v>
      </c>
      <c r="B32" s="182"/>
      <c r="C32" s="182"/>
      <c r="D32" s="182"/>
      <c r="E32" s="182"/>
      <c r="F32" s="182"/>
      <c r="G32" s="183"/>
      <c r="H32" s="9">
        <f>CEILING(640*USD,10)</f>
        <v>48800</v>
      </c>
      <c r="I32" s="8"/>
      <c r="J32" s="9"/>
    </row>
    <row r="33" spans="1:12" ht="20.100000000000001" customHeight="1" x14ac:dyDescent="0.3">
      <c r="A33" s="181" t="s">
        <v>1136</v>
      </c>
      <c r="B33" s="182"/>
      <c r="C33" s="182"/>
      <c r="D33" s="182"/>
      <c r="E33" s="182"/>
      <c r="F33" s="182"/>
      <c r="G33" s="183"/>
      <c r="H33" s="9">
        <f>CEILING(670*USD,10)</f>
        <v>51090</v>
      </c>
      <c r="I33" s="8"/>
      <c r="J33" s="9"/>
    </row>
    <row r="34" spans="1:12" ht="20.100000000000001" customHeight="1" x14ac:dyDescent="0.3">
      <c r="A34" s="181" t="s">
        <v>73</v>
      </c>
      <c r="B34" s="182"/>
      <c r="C34" s="182"/>
      <c r="D34" s="182"/>
      <c r="E34" s="182"/>
      <c r="F34" s="182"/>
      <c r="G34" s="183"/>
      <c r="H34" s="9">
        <f>CEILING(367*USD,10)</f>
        <v>27990</v>
      </c>
      <c r="I34" s="8"/>
      <c r="J34" s="9"/>
    </row>
    <row r="35" spans="1:12" ht="20.100000000000001" customHeight="1" x14ac:dyDescent="0.3">
      <c r="A35" s="181" t="s">
        <v>74</v>
      </c>
      <c r="B35" s="182"/>
      <c r="C35" s="182"/>
      <c r="D35" s="182"/>
      <c r="E35" s="182"/>
      <c r="F35" s="182"/>
      <c r="G35" s="183"/>
      <c r="H35" s="9">
        <f>CEILING(455*USD,10)</f>
        <v>34700</v>
      </c>
      <c r="I35" s="8"/>
      <c r="J35" s="9"/>
    </row>
    <row r="36" spans="1:12" ht="20.100000000000001" customHeight="1" x14ac:dyDescent="0.3">
      <c r="A36" s="181" t="s">
        <v>75</v>
      </c>
      <c r="B36" s="182"/>
      <c r="C36" s="182"/>
      <c r="D36" s="182"/>
      <c r="E36" s="182"/>
      <c r="F36" s="182"/>
      <c r="G36" s="183"/>
      <c r="H36" s="9">
        <f>CEILING(1020*USD,10)</f>
        <v>77780</v>
      </c>
      <c r="I36" s="8"/>
      <c r="J36" s="9"/>
    </row>
    <row r="37" spans="1:12" ht="20.100000000000001" customHeight="1" x14ac:dyDescent="0.3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2" ht="39.9" customHeight="1" x14ac:dyDescent="0.3">
      <c r="A38" s="150" t="s">
        <v>1329</v>
      </c>
      <c r="B38" s="151"/>
      <c r="C38" s="151"/>
      <c r="D38" s="151"/>
      <c r="E38" s="151"/>
      <c r="F38" s="151"/>
      <c r="G38" s="151"/>
      <c r="H38" s="151"/>
      <c r="I38" s="151"/>
      <c r="J38" s="151"/>
    </row>
    <row r="39" spans="1:12" ht="30" customHeight="1" x14ac:dyDescent="0.3">
      <c r="A39" s="57"/>
      <c r="B39" s="38" t="s">
        <v>2</v>
      </c>
      <c r="C39" s="4" t="s">
        <v>42</v>
      </c>
      <c r="D39" s="4" t="s">
        <v>43</v>
      </c>
      <c r="E39" s="38" t="s">
        <v>9</v>
      </c>
      <c r="F39" s="38" t="s">
        <v>10</v>
      </c>
      <c r="G39" s="4" t="s">
        <v>11</v>
      </c>
      <c r="H39" s="4" t="s">
        <v>17</v>
      </c>
      <c r="I39" s="4"/>
      <c r="J39" s="4"/>
    </row>
    <row r="40" spans="1:12" ht="20.100000000000001" customHeight="1" x14ac:dyDescent="0.3">
      <c r="A40" s="147"/>
      <c r="B40" s="6" t="s">
        <v>1330</v>
      </c>
      <c r="C40" s="57" t="s">
        <v>76</v>
      </c>
      <c r="D40" s="57" t="s">
        <v>47</v>
      </c>
      <c r="E40" s="57" t="s">
        <v>14</v>
      </c>
      <c r="F40" s="57" t="s">
        <v>13</v>
      </c>
      <c r="G40" s="57" t="s">
        <v>71</v>
      </c>
      <c r="H40" s="9">
        <f>CEILING(1570*USD,10)</f>
        <v>119720</v>
      </c>
      <c r="I40" s="8"/>
      <c r="J40" s="9"/>
      <c r="L40" s="12" t="s">
        <v>1710</v>
      </c>
    </row>
    <row r="41" spans="1:12" ht="20.100000000000001" customHeight="1" x14ac:dyDescent="0.3">
      <c r="A41" s="147"/>
      <c r="B41" s="6" t="s">
        <v>1331</v>
      </c>
      <c r="C41" s="57" t="s">
        <v>76</v>
      </c>
      <c r="D41" s="57" t="s">
        <v>47</v>
      </c>
      <c r="E41" s="57" t="s">
        <v>14</v>
      </c>
      <c r="F41" s="57" t="s">
        <v>15</v>
      </c>
      <c r="G41" s="57" t="s">
        <v>71</v>
      </c>
      <c r="H41" s="9">
        <f>CEILING(1720*USD,10)</f>
        <v>131150</v>
      </c>
      <c r="I41" s="8"/>
      <c r="J41" s="9"/>
      <c r="L41" s="12" t="s">
        <v>1710</v>
      </c>
    </row>
    <row r="42" spans="1:12" ht="20.100000000000001" customHeight="1" x14ac:dyDescent="0.3">
      <c r="A42" s="147"/>
      <c r="B42" s="6" t="s">
        <v>1332</v>
      </c>
      <c r="C42" s="57" t="s">
        <v>45</v>
      </c>
      <c r="D42" s="57" t="s">
        <v>47</v>
      </c>
      <c r="E42" s="57" t="s">
        <v>14</v>
      </c>
      <c r="F42" s="57" t="s">
        <v>13</v>
      </c>
      <c r="G42" s="57" t="s">
        <v>71</v>
      </c>
      <c r="H42" s="9">
        <f>CEILING(1650*USD,10)</f>
        <v>125820</v>
      </c>
      <c r="I42" s="8"/>
      <c r="J42" s="9"/>
      <c r="L42" s="12" t="s">
        <v>1710</v>
      </c>
    </row>
    <row r="43" spans="1:12" ht="20.100000000000001" customHeight="1" x14ac:dyDescent="0.3">
      <c r="A43" s="147"/>
      <c r="B43" s="6" t="s">
        <v>1333</v>
      </c>
      <c r="C43" s="57" t="s">
        <v>45</v>
      </c>
      <c r="D43" s="57" t="s">
        <v>47</v>
      </c>
      <c r="E43" s="57" t="s">
        <v>14</v>
      </c>
      <c r="F43" s="57" t="s">
        <v>15</v>
      </c>
      <c r="G43" s="57" t="s">
        <v>71</v>
      </c>
      <c r="H43" s="9">
        <f>CEILING(1800*USD,10)</f>
        <v>137250</v>
      </c>
      <c r="I43" s="8"/>
      <c r="J43" s="9"/>
      <c r="L43" s="12" t="s">
        <v>1710</v>
      </c>
    </row>
    <row r="44" spans="1:12" ht="20.100000000000001" customHeight="1" x14ac:dyDescent="0.3">
      <c r="A44" s="147"/>
      <c r="B44" s="6" t="s">
        <v>1334</v>
      </c>
      <c r="C44" s="57" t="s">
        <v>46</v>
      </c>
      <c r="D44" s="57" t="s">
        <v>47</v>
      </c>
      <c r="E44" s="57" t="s">
        <v>14</v>
      </c>
      <c r="F44" s="57" t="s">
        <v>13</v>
      </c>
      <c r="G44" s="57" t="s">
        <v>71</v>
      </c>
      <c r="H44" s="9">
        <f>CEILING(1770*USD,10)</f>
        <v>134970</v>
      </c>
      <c r="I44" s="8"/>
      <c r="J44" s="9"/>
      <c r="L44" s="12" t="s">
        <v>1710</v>
      </c>
    </row>
    <row r="45" spans="1:12" ht="20.100000000000001" customHeight="1" x14ac:dyDescent="0.3">
      <c r="A45" s="147"/>
      <c r="B45" s="6" t="s">
        <v>1335</v>
      </c>
      <c r="C45" s="57" t="s">
        <v>46</v>
      </c>
      <c r="D45" s="57" t="s">
        <v>47</v>
      </c>
      <c r="E45" s="57" t="s">
        <v>14</v>
      </c>
      <c r="F45" s="57" t="s">
        <v>15</v>
      </c>
      <c r="G45" s="57" t="s">
        <v>71</v>
      </c>
      <c r="H45" s="9">
        <f>CEILING(1935*USD,10)</f>
        <v>147550</v>
      </c>
      <c r="I45" s="8"/>
      <c r="J45" s="9"/>
      <c r="L45" s="12" t="s">
        <v>1710</v>
      </c>
    </row>
    <row r="46" spans="1:12" ht="20.100000000000001" customHeight="1" x14ac:dyDescent="0.3">
      <c r="A46" s="156" t="s">
        <v>67</v>
      </c>
      <c r="B46" s="157"/>
      <c r="C46" s="157"/>
      <c r="D46" s="157"/>
      <c r="E46" s="157"/>
      <c r="F46" s="157"/>
      <c r="G46" s="157"/>
      <c r="H46" s="157"/>
      <c r="I46" s="157"/>
      <c r="J46" s="184"/>
    </row>
    <row r="47" spans="1:12" ht="20.100000000000001" customHeight="1" x14ac:dyDescent="0.3">
      <c r="A47" s="181" t="s">
        <v>1375</v>
      </c>
      <c r="B47" s="182"/>
      <c r="C47" s="182"/>
      <c r="D47" s="182"/>
      <c r="E47" s="182"/>
      <c r="F47" s="182"/>
      <c r="G47" s="183"/>
      <c r="H47" s="9">
        <v>14790</v>
      </c>
      <c r="I47" s="8"/>
      <c r="J47" s="9"/>
    </row>
    <row r="48" spans="1:12" ht="20.100000000000001" customHeight="1" x14ac:dyDescent="0.3">
      <c r="A48" s="181" t="s">
        <v>1135</v>
      </c>
      <c r="B48" s="182"/>
      <c r="C48" s="182"/>
      <c r="D48" s="182"/>
      <c r="E48" s="182"/>
      <c r="F48" s="182"/>
      <c r="G48" s="183"/>
      <c r="H48" s="9">
        <v>1224</v>
      </c>
      <c r="I48" s="8"/>
      <c r="J48" s="9"/>
    </row>
    <row r="49" spans="1:12" ht="20.100000000000001" customHeight="1" x14ac:dyDescent="0.3">
      <c r="A49" s="181" t="s">
        <v>945</v>
      </c>
      <c r="B49" s="182"/>
      <c r="C49" s="182"/>
      <c r="D49" s="182"/>
      <c r="E49" s="182"/>
      <c r="F49" s="182"/>
      <c r="G49" s="183"/>
      <c r="H49" s="9">
        <v>1630</v>
      </c>
      <c r="I49" s="8"/>
      <c r="J49" s="9"/>
    </row>
    <row r="50" spans="1:12" ht="20.100000000000001" customHeight="1" x14ac:dyDescent="0.3">
      <c r="A50" s="181" t="s">
        <v>1703</v>
      </c>
      <c r="B50" s="182"/>
      <c r="C50" s="182"/>
      <c r="D50" s="182"/>
      <c r="E50" s="182"/>
      <c r="F50" s="182"/>
      <c r="G50" s="183"/>
      <c r="H50" s="9">
        <f>CEILING(640*USD,10)</f>
        <v>48800</v>
      </c>
      <c r="I50" s="8"/>
      <c r="J50" s="9"/>
      <c r="L50" s="12" t="s">
        <v>1817</v>
      </c>
    </row>
    <row r="51" spans="1:12" ht="20.100000000000001" customHeight="1" x14ac:dyDescent="0.3">
      <c r="A51" s="181" t="s">
        <v>1136</v>
      </c>
      <c r="B51" s="182"/>
      <c r="C51" s="182"/>
      <c r="D51" s="182"/>
      <c r="E51" s="182"/>
      <c r="F51" s="182"/>
      <c r="G51" s="183"/>
      <c r="H51" s="9">
        <f>CEILING(670*USD,10)</f>
        <v>51090</v>
      </c>
      <c r="I51" s="8"/>
      <c r="J51" s="9"/>
    </row>
    <row r="52" spans="1:12" ht="20.100000000000001" customHeight="1" x14ac:dyDescent="0.3">
      <c r="A52" s="181" t="s">
        <v>73</v>
      </c>
      <c r="B52" s="182"/>
      <c r="C52" s="182"/>
      <c r="D52" s="182"/>
      <c r="E52" s="182"/>
      <c r="F52" s="182"/>
      <c r="G52" s="183"/>
      <c r="H52" s="9">
        <f>CEILING(367*USD,10)</f>
        <v>27990</v>
      </c>
      <c r="I52" s="8"/>
      <c r="J52" s="9"/>
    </row>
    <row r="53" spans="1:12" ht="20.100000000000001" customHeight="1" x14ac:dyDescent="0.3">
      <c r="A53" s="181" t="s">
        <v>74</v>
      </c>
      <c r="B53" s="182"/>
      <c r="C53" s="182"/>
      <c r="D53" s="182"/>
      <c r="E53" s="182"/>
      <c r="F53" s="182"/>
      <c r="G53" s="183"/>
      <c r="H53" s="9">
        <f>CEILING(455*USD,10)</f>
        <v>34700</v>
      </c>
      <c r="I53" s="8"/>
      <c r="J53" s="9"/>
    </row>
    <row r="54" spans="1:12" ht="20.100000000000001" customHeight="1" x14ac:dyDescent="0.3">
      <c r="A54" s="181" t="s">
        <v>75</v>
      </c>
      <c r="B54" s="182"/>
      <c r="C54" s="182"/>
      <c r="D54" s="182"/>
      <c r="E54" s="182"/>
      <c r="F54" s="182"/>
      <c r="G54" s="183"/>
      <c r="H54" s="9">
        <f>CEILING(1020*USD,10)</f>
        <v>77780</v>
      </c>
      <c r="I54" s="8"/>
      <c r="J54" s="9"/>
    </row>
    <row r="55" spans="1:12" ht="20.100000000000001" customHeight="1" x14ac:dyDescent="0.3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2" ht="39.9" customHeight="1" x14ac:dyDescent="0.3">
      <c r="A56" s="150" t="s">
        <v>1377</v>
      </c>
      <c r="B56" s="151"/>
      <c r="C56" s="151"/>
      <c r="D56" s="151"/>
      <c r="E56" s="151"/>
      <c r="F56" s="151"/>
      <c r="G56" s="151"/>
      <c r="H56" s="151"/>
      <c r="I56" s="151"/>
      <c r="J56" s="151"/>
    </row>
    <row r="57" spans="1:12" ht="30" customHeight="1" x14ac:dyDescent="0.3">
      <c r="A57" s="5"/>
      <c r="B57" s="3" t="s">
        <v>2</v>
      </c>
      <c r="C57" s="4" t="s">
        <v>42</v>
      </c>
      <c r="D57" s="4" t="s">
        <v>43</v>
      </c>
      <c r="E57" s="3" t="s">
        <v>9</v>
      </c>
      <c r="F57" s="3" t="s">
        <v>10</v>
      </c>
      <c r="G57" s="4" t="s">
        <v>11</v>
      </c>
      <c r="H57" s="4" t="s">
        <v>17</v>
      </c>
      <c r="I57" s="4" t="s">
        <v>12</v>
      </c>
      <c r="J57" s="4" t="s">
        <v>18</v>
      </c>
    </row>
    <row r="58" spans="1:12" ht="60" customHeight="1" x14ac:dyDescent="0.3">
      <c r="A58" s="147"/>
      <c r="B58" s="3" t="s">
        <v>946</v>
      </c>
      <c r="C58" s="21" t="s">
        <v>1337</v>
      </c>
      <c r="D58" s="21" t="s">
        <v>1336</v>
      </c>
      <c r="E58" s="21" t="s">
        <v>14</v>
      </c>
      <c r="F58" s="5" t="s">
        <v>13</v>
      </c>
      <c r="G58" s="5" t="s">
        <v>71</v>
      </c>
      <c r="H58" s="9">
        <f>CEILING(1340*USD,10)</f>
        <v>102180</v>
      </c>
      <c r="I58" s="8"/>
      <c r="J58" s="9"/>
    </row>
    <row r="59" spans="1:12" ht="60" customHeight="1" x14ac:dyDescent="0.3">
      <c r="A59" s="147"/>
      <c r="B59" s="3" t="s">
        <v>947</v>
      </c>
      <c r="C59" s="21" t="s">
        <v>1337</v>
      </c>
      <c r="D59" s="21" t="s">
        <v>1336</v>
      </c>
      <c r="E59" s="21" t="s">
        <v>14</v>
      </c>
      <c r="F59" s="5" t="s">
        <v>13</v>
      </c>
      <c r="G59" s="5" t="s">
        <v>71</v>
      </c>
      <c r="H59" s="9">
        <f>CEILING(1460*USD,10)</f>
        <v>111330</v>
      </c>
      <c r="I59" s="8"/>
      <c r="J59" s="9"/>
    </row>
    <row r="60" spans="1:12" ht="60" customHeight="1" x14ac:dyDescent="0.3">
      <c r="A60" s="147"/>
      <c r="B60" s="3" t="s">
        <v>948</v>
      </c>
      <c r="C60" s="21" t="s">
        <v>1339</v>
      </c>
      <c r="D60" s="21" t="s">
        <v>1338</v>
      </c>
      <c r="E60" s="21" t="s">
        <v>27</v>
      </c>
      <c r="F60" s="5" t="s">
        <v>13</v>
      </c>
      <c r="G60" s="5" t="s">
        <v>71</v>
      </c>
      <c r="H60" s="9">
        <f>CEILING(1100*USD,10)</f>
        <v>83880</v>
      </c>
      <c r="I60" s="8"/>
      <c r="J60" s="9"/>
    </row>
    <row r="61" spans="1:12" ht="60" customHeight="1" x14ac:dyDescent="0.3">
      <c r="A61" s="147"/>
      <c r="B61" s="3" t="s">
        <v>949</v>
      </c>
      <c r="C61" s="21" t="s">
        <v>1339</v>
      </c>
      <c r="D61" s="21" t="s">
        <v>1338</v>
      </c>
      <c r="E61" s="21" t="s">
        <v>27</v>
      </c>
      <c r="F61" s="5" t="s">
        <v>13</v>
      </c>
      <c r="G61" s="5" t="s">
        <v>71</v>
      </c>
      <c r="H61" s="9">
        <f>CEILING(1210*USD,10)</f>
        <v>92270</v>
      </c>
      <c r="I61" s="8"/>
      <c r="J61" s="9"/>
    </row>
    <row r="62" spans="1:12" ht="20.100000000000001" customHeight="1" x14ac:dyDescent="0.3">
      <c r="A62" s="159" t="s">
        <v>67</v>
      </c>
      <c r="B62" s="159"/>
      <c r="C62" s="159"/>
      <c r="D62" s="159"/>
      <c r="E62" s="159"/>
      <c r="F62" s="159"/>
      <c r="G62" s="159"/>
      <c r="H62" s="159"/>
      <c r="I62" s="159"/>
      <c r="J62" s="159"/>
    </row>
    <row r="63" spans="1:12" ht="20.100000000000001" customHeight="1" x14ac:dyDescent="0.3">
      <c r="A63" s="181" t="s">
        <v>1375</v>
      </c>
      <c r="B63" s="182"/>
      <c r="C63" s="182"/>
      <c r="D63" s="182"/>
      <c r="E63" s="182"/>
      <c r="F63" s="182"/>
      <c r="G63" s="183"/>
      <c r="H63" s="9">
        <v>14790</v>
      </c>
      <c r="I63" s="8"/>
      <c r="J63" s="9"/>
    </row>
    <row r="64" spans="1:12" ht="20.100000000000001" customHeight="1" x14ac:dyDescent="0.3">
      <c r="A64" s="181" t="s">
        <v>1135</v>
      </c>
      <c r="B64" s="182"/>
      <c r="C64" s="182"/>
      <c r="D64" s="182"/>
      <c r="E64" s="182"/>
      <c r="F64" s="182"/>
      <c r="G64" s="183"/>
      <c r="H64" s="9">
        <v>1220</v>
      </c>
      <c r="I64" s="8"/>
      <c r="J64" s="9"/>
    </row>
    <row r="65" spans="1:10" ht="20.100000000000001" customHeight="1" x14ac:dyDescent="0.3">
      <c r="A65" s="181" t="s">
        <v>945</v>
      </c>
      <c r="B65" s="182"/>
      <c r="C65" s="182"/>
      <c r="D65" s="182"/>
      <c r="E65" s="182"/>
      <c r="F65" s="182"/>
      <c r="G65" s="183"/>
      <c r="H65" s="9">
        <v>1630</v>
      </c>
      <c r="I65" s="8"/>
      <c r="J65" s="9"/>
    </row>
    <row r="66" spans="1:10" ht="20.100000000000001" customHeight="1" x14ac:dyDescent="0.3">
      <c r="A66" s="181" t="s">
        <v>951</v>
      </c>
      <c r="B66" s="182"/>
      <c r="C66" s="182"/>
      <c r="D66" s="182"/>
      <c r="E66" s="182"/>
      <c r="F66" s="182"/>
      <c r="G66" s="183"/>
      <c r="H66" s="9">
        <f>CEILING(122*USD,10)</f>
        <v>9310</v>
      </c>
      <c r="I66" s="8"/>
      <c r="J66" s="9"/>
    </row>
    <row r="67" spans="1:10" ht="20.100000000000001" customHeight="1" x14ac:dyDescent="0.3">
      <c r="A67" s="181" t="s">
        <v>1136</v>
      </c>
      <c r="B67" s="182"/>
      <c r="C67" s="182"/>
      <c r="D67" s="182"/>
      <c r="E67" s="182"/>
      <c r="F67" s="182"/>
      <c r="G67" s="183"/>
      <c r="H67" s="9">
        <f>CEILING(670*USD,10)</f>
        <v>51090</v>
      </c>
      <c r="I67" s="8"/>
      <c r="J67" s="9"/>
    </row>
    <row r="68" spans="1:10" ht="20.100000000000001" customHeight="1" x14ac:dyDescent="0.3">
      <c r="A68" s="181" t="s">
        <v>73</v>
      </c>
      <c r="B68" s="182"/>
      <c r="C68" s="182"/>
      <c r="D68" s="182"/>
      <c r="E68" s="182"/>
      <c r="F68" s="182"/>
      <c r="G68" s="183"/>
      <c r="H68" s="9">
        <f>CEILING(367*USD,10)</f>
        <v>27990</v>
      </c>
      <c r="I68" s="8"/>
      <c r="J68" s="9"/>
    </row>
    <row r="69" spans="1:10" ht="20.100000000000001" customHeight="1" x14ac:dyDescent="0.3">
      <c r="A69" s="181" t="s">
        <v>74</v>
      </c>
      <c r="B69" s="182"/>
      <c r="C69" s="182"/>
      <c r="D69" s="182"/>
      <c r="E69" s="182"/>
      <c r="F69" s="182"/>
      <c r="G69" s="183"/>
      <c r="H69" s="9">
        <f>CEILING(455*USD,10)</f>
        <v>34700</v>
      </c>
      <c r="I69" s="8"/>
      <c r="J69" s="9"/>
    </row>
    <row r="70" spans="1:10" ht="20.100000000000001" customHeight="1" x14ac:dyDescent="0.3">
      <c r="A70" s="181" t="s">
        <v>75</v>
      </c>
      <c r="B70" s="182"/>
      <c r="C70" s="182"/>
      <c r="D70" s="182"/>
      <c r="E70" s="182"/>
      <c r="F70" s="182"/>
      <c r="G70" s="183"/>
      <c r="H70" s="9">
        <f>CEILING(1020*USD,10)</f>
        <v>77780</v>
      </c>
      <c r="I70" s="8"/>
      <c r="J70" s="9"/>
    </row>
    <row r="71" spans="1:10" ht="20.100000000000001" customHeight="1" x14ac:dyDescent="0.3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39.9" customHeight="1" x14ac:dyDescent="0.3">
      <c r="A72" s="150" t="s">
        <v>1340</v>
      </c>
      <c r="B72" s="151"/>
      <c r="C72" s="151"/>
      <c r="D72" s="151"/>
      <c r="E72" s="151"/>
      <c r="F72" s="151"/>
      <c r="G72" s="151"/>
      <c r="H72" s="151"/>
      <c r="I72" s="151"/>
      <c r="J72" s="151"/>
    </row>
    <row r="73" spans="1:10" ht="30" customHeight="1" x14ac:dyDescent="0.3">
      <c r="A73" s="57"/>
      <c r="B73" s="38" t="s">
        <v>2</v>
      </c>
      <c r="C73" s="4" t="s">
        <v>42</v>
      </c>
      <c r="D73" s="4" t="s">
        <v>43</v>
      </c>
      <c r="E73" s="38" t="s">
        <v>9</v>
      </c>
      <c r="F73" s="38" t="s">
        <v>10</v>
      </c>
      <c r="G73" s="4" t="s">
        <v>11</v>
      </c>
      <c r="H73" s="4" t="s">
        <v>17</v>
      </c>
      <c r="I73" s="4"/>
      <c r="J73" s="4"/>
    </row>
    <row r="74" spans="1:10" ht="20.100000000000001" customHeight="1" x14ac:dyDescent="0.3">
      <c r="A74" s="147"/>
      <c r="B74" s="20" t="s">
        <v>1341</v>
      </c>
      <c r="C74" s="21" t="s">
        <v>46</v>
      </c>
      <c r="D74" s="21" t="s">
        <v>48</v>
      </c>
      <c r="E74" s="57" t="s">
        <v>27</v>
      </c>
      <c r="F74" s="57" t="s">
        <v>13</v>
      </c>
      <c r="G74" s="57" t="s">
        <v>113</v>
      </c>
      <c r="H74" s="9">
        <f>CEILING(1210*USD,10)</f>
        <v>92270</v>
      </c>
      <c r="I74" s="8"/>
      <c r="J74" s="9"/>
    </row>
    <row r="75" spans="1:10" ht="20.100000000000001" customHeight="1" x14ac:dyDescent="0.3">
      <c r="A75" s="147"/>
      <c r="B75" s="20" t="s">
        <v>1342</v>
      </c>
      <c r="C75" s="21" t="s">
        <v>46</v>
      </c>
      <c r="D75" s="21" t="s">
        <v>48</v>
      </c>
      <c r="E75" s="57" t="s">
        <v>27</v>
      </c>
      <c r="F75" s="21" t="s">
        <v>165</v>
      </c>
      <c r="G75" s="57" t="s">
        <v>113</v>
      </c>
      <c r="H75" s="9">
        <f>CEILING(1485*USD,10)</f>
        <v>113240</v>
      </c>
      <c r="I75" s="8"/>
      <c r="J75" s="9"/>
    </row>
    <row r="76" spans="1:10" ht="20.100000000000001" customHeight="1" x14ac:dyDescent="0.3">
      <c r="A76" s="147"/>
      <c r="B76" s="20" t="s">
        <v>1343</v>
      </c>
      <c r="C76" s="21" t="s">
        <v>52</v>
      </c>
      <c r="D76" s="21" t="s">
        <v>48</v>
      </c>
      <c r="E76" s="57" t="s">
        <v>27</v>
      </c>
      <c r="F76" s="57" t="s">
        <v>13</v>
      </c>
      <c r="G76" s="57" t="s">
        <v>113</v>
      </c>
      <c r="H76" s="9">
        <f>CEILING(1295*USD,10)</f>
        <v>98750</v>
      </c>
      <c r="I76" s="8"/>
      <c r="J76" s="9"/>
    </row>
    <row r="77" spans="1:10" ht="20.100000000000001" customHeight="1" x14ac:dyDescent="0.3">
      <c r="A77" s="147"/>
      <c r="B77" s="20" t="s">
        <v>1344</v>
      </c>
      <c r="C77" s="21" t="s">
        <v>52</v>
      </c>
      <c r="D77" s="21" t="s">
        <v>48</v>
      </c>
      <c r="E77" s="57" t="s">
        <v>27</v>
      </c>
      <c r="F77" s="21" t="s">
        <v>165</v>
      </c>
      <c r="G77" s="57" t="s">
        <v>113</v>
      </c>
      <c r="H77" s="9">
        <f>CEILING(1570*USD,10)</f>
        <v>119720</v>
      </c>
      <c r="I77" s="8"/>
      <c r="J77" s="9"/>
    </row>
    <row r="78" spans="1:10" ht="20.100000000000001" customHeight="1" x14ac:dyDescent="0.3">
      <c r="A78" s="147"/>
      <c r="B78" s="20" t="s">
        <v>1345</v>
      </c>
      <c r="C78" s="21" t="s">
        <v>53</v>
      </c>
      <c r="D78" s="21" t="s">
        <v>48</v>
      </c>
      <c r="E78" s="57" t="s">
        <v>27</v>
      </c>
      <c r="F78" s="57" t="s">
        <v>13</v>
      </c>
      <c r="G78" s="57" t="s">
        <v>113</v>
      </c>
      <c r="H78" s="9">
        <f>CEILING(1424*USD,10)</f>
        <v>108580</v>
      </c>
      <c r="I78" s="8"/>
      <c r="J78" s="9"/>
    </row>
    <row r="79" spans="1:10" ht="20.100000000000001" customHeight="1" x14ac:dyDescent="0.3">
      <c r="A79" s="147"/>
      <c r="B79" s="20" t="s">
        <v>1346</v>
      </c>
      <c r="C79" s="21" t="s">
        <v>53</v>
      </c>
      <c r="D79" s="21" t="s">
        <v>48</v>
      </c>
      <c r="E79" s="57" t="s">
        <v>27</v>
      </c>
      <c r="F79" s="21" t="s">
        <v>165</v>
      </c>
      <c r="G79" s="57" t="s">
        <v>113</v>
      </c>
      <c r="H79" s="9">
        <f>CEILING(1700*USD,10)</f>
        <v>129630</v>
      </c>
      <c r="I79" s="8"/>
      <c r="J79" s="9"/>
    </row>
    <row r="80" spans="1:10" ht="20.100000000000001" customHeight="1" x14ac:dyDescent="0.3">
      <c r="A80" s="147"/>
      <c r="B80" s="20" t="s">
        <v>1347</v>
      </c>
      <c r="C80" s="21" t="s">
        <v>96</v>
      </c>
      <c r="D80" s="21" t="s">
        <v>48</v>
      </c>
      <c r="E80" s="57" t="s">
        <v>14</v>
      </c>
      <c r="F80" s="21" t="s">
        <v>13</v>
      </c>
      <c r="G80" s="57" t="s">
        <v>113</v>
      </c>
      <c r="H80" s="9">
        <f>CEILING(1630*USD,10)</f>
        <v>124290</v>
      </c>
      <c r="I80" s="8"/>
      <c r="J80" s="9"/>
    </row>
    <row r="81" spans="1:10" ht="20.100000000000001" customHeight="1" x14ac:dyDescent="0.3">
      <c r="A81" s="147"/>
      <c r="B81" s="20" t="s">
        <v>1348</v>
      </c>
      <c r="C81" s="21" t="s">
        <v>96</v>
      </c>
      <c r="D81" s="21" t="s">
        <v>48</v>
      </c>
      <c r="E81" s="57" t="s">
        <v>14</v>
      </c>
      <c r="F81" s="21" t="s">
        <v>165</v>
      </c>
      <c r="G81" s="57" t="s">
        <v>113</v>
      </c>
      <c r="H81" s="9">
        <f>CEILING(1895*USD,10)</f>
        <v>144500</v>
      </c>
      <c r="I81" s="8"/>
      <c r="J81" s="9"/>
    </row>
    <row r="82" spans="1:10" ht="20.100000000000001" customHeight="1" x14ac:dyDescent="0.3">
      <c r="A82" s="147"/>
      <c r="B82" s="20" t="s">
        <v>1349</v>
      </c>
      <c r="C82" s="21" t="s">
        <v>57</v>
      </c>
      <c r="D82" s="21" t="s">
        <v>49</v>
      </c>
      <c r="E82" s="57" t="s">
        <v>27</v>
      </c>
      <c r="F82" s="21" t="s">
        <v>13</v>
      </c>
      <c r="G82" s="57" t="s">
        <v>114</v>
      </c>
      <c r="H82" s="9">
        <f>CEILING(1150*USD,10)</f>
        <v>87690</v>
      </c>
      <c r="I82" s="8"/>
      <c r="J82" s="9"/>
    </row>
    <row r="83" spans="1:10" ht="20.100000000000001" customHeight="1" x14ac:dyDescent="0.3">
      <c r="A83" s="147"/>
      <c r="B83" s="20" t="s">
        <v>1350</v>
      </c>
      <c r="C83" s="21" t="s">
        <v>57</v>
      </c>
      <c r="D83" s="21" t="s">
        <v>49</v>
      </c>
      <c r="E83" s="57" t="s">
        <v>27</v>
      </c>
      <c r="F83" s="21" t="s">
        <v>165</v>
      </c>
      <c r="G83" s="57" t="s">
        <v>114</v>
      </c>
      <c r="H83" s="9">
        <f>CEILING(1430*USD,10)</f>
        <v>109040</v>
      </c>
      <c r="I83" s="8"/>
      <c r="J83" s="9"/>
    </row>
    <row r="84" spans="1:10" ht="20.100000000000001" customHeight="1" x14ac:dyDescent="0.3">
      <c r="A84" s="147"/>
      <c r="B84" s="20" t="s">
        <v>1351</v>
      </c>
      <c r="C84" s="21" t="s">
        <v>58</v>
      </c>
      <c r="D84" s="21" t="s">
        <v>49</v>
      </c>
      <c r="E84" s="57" t="s">
        <v>27</v>
      </c>
      <c r="F84" s="21" t="s">
        <v>13</v>
      </c>
      <c r="G84" s="57" t="s">
        <v>114</v>
      </c>
      <c r="H84" s="9">
        <f>CEILING(1210*USD,10)</f>
        <v>92270</v>
      </c>
      <c r="I84" s="8"/>
      <c r="J84" s="9"/>
    </row>
    <row r="85" spans="1:10" ht="20.100000000000001" customHeight="1" x14ac:dyDescent="0.3">
      <c r="A85" s="147"/>
      <c r="B85" s="20" t="s">
        <v>1352</v>
      </c>
      <c r="C85" s="21" t="s">
        <v>58</v>
      </c>
      <c r="D85" s="21" t="s">
        <v>49</v>
      </c>
      <c r="E85" s="57" t="s">
        <v>27</v>
      </c>
      <c r="F85" s="21" t="s">
        <v>165</v>
      </c>
      <c r="G85" s="57" t="s">
        <v>114</v>
      </c>
      <c r="H85" s="9">
        <f>CEILING(1485*USD,10)</f>
        <v>113240</v>
      </c>
      <c r="I85" s="8"/>
      <c r="J85" s="9"/>
    </row>
    <row r="86" spans="1:10" ht="20.100000000000001" customHeight="1" x14ac:dyDescent="0.3">
      <c r="A86" s="147"/>
      <c r="B86" s="20" t="s">
        <v>1353</v>
      </c>
      <c r="C86" s="21" t="s">
        <v>98</v>
      </c>
      <c r="D86" s="21" t="s">
        <v>49</v>
      </c>
      <c r="E86" s="57" t="s">
        <v>27</v>
      </c>
      <c r="F86" s="21" t="s">
        <v>13</v>
      </c>
      <c r="G86" s="57" t="s">
        <v>114</v>
      </c>
      <c r="H86" s="9">
        <f>CEILING(1295*USD,10)</f>
        <v>98750</v>
      </c>
      <c r="I86" s="8"/>
      <c r="J86" s="9"/>
    </row>
    <row r="87" spans="1:10" ht="20.100000000000001" customHeight="1" x14ac:dyDescent="0.3">
      <c r="A87" s="147"/>
      <c r="B87" s="20" t="s">
        <v>1354</v>
      </c>
      <c r="C87" s="21" t="s">
        <v>98</v>
      </c>
      <c r="D87" s="21" t="s">
        <v>49</v>
      </c>
      <c r="E87" s="57" t="s">
        <v>27</v>
      </c>
      <c r="F87" s="21" t="s">
        <v>165</v>
      </c>
      <c r="G87" s="57" t="s">
        <v>114</v>
      </c>
      <c r="H87" s="9">
        <f>CEILING(1570*USD,10)</f>
        <v>119720</v>
      </c>
      <c r="I87" s="8"/>
      <c r="J87" s="9"/>
    </row>
    <row r="88" spans="1:10" ht="20.100000000000001" customHeight="1" x14ac:dyDescent="0.3">
      <c r="A88" s="147"/>
      <c r="B88" s="20" t="s">
        <v>1355</v>
      </c>
      <c r="C88" s="21" t="s">
        <v>99</v>
      </c>
      <c r="D88" s="21" t="s">
        <v>49</v>
      </c>
      <c r="E88" s="57" t="s">
        <v>27</v>
      </c>
      <c r="F88" s="21" t="s">
        <v>13</v>
      </c>
      <c r="G88" s="57" t="s">
        <v>114</v>
      </c>
      <c r="H88" s="9">
        <f>CEILING(1430*USD,10)</f>
        <v>109040</v>
      </c>
      <c r="I88" s="8"/>
      <c r="J88" s="9"/>
    </row>
    <row r="89" spans="1:10" ht="20.100000000000001" customHeight="1" x14ac:dyDescent="0.3">
      <c r="A89" s="147"/>
      <c r="B89" s="20" t="s">
        <v>1356</v>
      </c>
      <c r="C89" s="21" t="s">
        <v>99</v>
      </c>
      <c r="D89" s="21" t="s">
        <v>49</v>
      </c>
      <c r="E89" s="57" t="s">
        <v>27</v>
      </c>
      <c r="F89" s="21" t="s">
        <v>165</v>
      </c>
      <c r="G89" s="57" t="s">
        <v>114</v>
      </c>
      <c r="H89" s="9">
        <f>CEILING(1700*USD,10)</f>
        <v>129630</v>
      </c>
      <c r="I89" s="8"/>
      <c r="J89" s="9"/>
    </row>
    <row r="90" spans="1:10" ht="20.100000000000001" customHeight="1" x14ac:dyDescent="0.3">
      <c r="A90" s="147"/>
      <c r="B90" s="20" t="s">
        <v>1357</v>
      </c>
      <c r="C90" s="21" t="s">
        <v>100</v>
      </c>
      <c r="D90" s="21" t="s">
        <v>49</v>
      </c>
      <c r="E90" s="57" t="s">
        <v>14</v>
      </c>
      <c r="F90" s="21" t="s">
        <v>13</v>
      </c>
      <c r="G90" s="57" t="s">
        <v>114</v>
      </c>
      <c r="H90" s="9">
        <f>CEILING(1750*USD,10)</f>
        <v>133440</v>
      </c>
      <c r="I90" s="8"/>
      <c r="J90" s="9"/>
    </row>
    <row r="91" spans="1:10" ht="20.100000000000001" customHeight="1" x14ac:dyDescent="0.3">
      <c r="A91" s="147"/>
      <c r="B91" s="20" t="s">
        <v>1358</v>
      </c>
      <c r="C91" s="21" t="s">
        <v>101</v>
      </c>
      <c r="D91" s="21" t="s">
        <v>50</v>
      </c>
      <c r="E91" s="57" t="s">
        <v>27</v>
      </c>
      <c r="F91" s="21" t="s">
        <v>13</v>
      </c>
      <c r="G91" s="57" t="s">
        <v>114</v>
      </c>
      <c r="H91" s="9">
        <f>CEILING(1570*USD,10)</f>
        <v>119720</v>
      </c>
      <c r="I91" s="8"/>
      <c r="J91" s="9"/>
    </row>
    <row r="92" spans="1:10" ht="20.100000000000001" customHeight="1" x14ac:dyDescent="0.3">
      <c r="A92" s="147"/>
      <c r="B92" s="20" t="s">
        <v>1359</v>
      </c>
      <c r="C92" s="21" t="s">
        <v>102</v>
      </c>
      <c r="D92" s="21" t="s">
        <v>50</v>
      </c>
      <c r="E92" s="57" t="s">
        <v>27</v>
      </c>
      <c r="F92" s="21" t="s">
        <v>13</v>
      </c>
      <c r="G92" s="57" t="s">
        <v>114</v>
      </c>
      <c r="H92" s="9">
        <f>CEILING(1650*USD,10)</f>
        <v>125820</v>
      </c>
      <c r="I92" s="8"/>
      <c r="J92" s="9"/>
    </row>
    <row r="93" spans="1:10" ht="20.100000000000001" customHeight="1" x14ac:dyDescent="0.3">
      <c r="A93" s="147"/>
      <c r="B93" s="20" t="s">
        <v>1360</v>
      </c>
      <c r="C93" s="21" t="s">
        <v>62</v>
      </c>
      <c r="D93" s="21" t="s">
        <v>50</v>
      </c>
      <c r="E93" s="57" t="s">
        <v>27</v>
      </c>
      <c r="F93" s="21" t="s">
        <v>13</v>
      </c>
      <c r="G93" s="57" t="s">
        <v>114</v>
      </c>
      <c r="H93" s="9">
        <f>CEILING(1730*USD,10)</f>
        <v>131920</v>
      </c>
      <c r="I93" s="8"/>
      <c r="J93" s="9"/>
    </row>
    <row r="94" spans="1:10" ht="20.100000000000001" customHeight="1" x14ac:dyDescent="0.3">
      <c r="A94" s="147"/>
      <c r="B94" s="20" t="s">
        <v>1361</v>
      </c>
      <c r="C94" s="21" t="s">
        <v>112</v>
      </c>
      <c r="D94" s="21" t="s">
        <v>50</v>
      </c>
      <c r="E94" s="57" t="s">
        <v>27</v>
      </c>
      <c r="F94" s="21" t="s">
        <v>13</v>
      </c>
      <c r="G94" s="57" t="s">
        <v>115</v>
      </c>
      <c r="H94" s="9">
        <f>CEILING(2685*USD,10)</f>
        <v>204740</v>
      </c>
      <c r="I94" s="8"/>
      <c r="J94" s="9"/>
    </row>
    <row r="95" spans="1:10" ht="20.100000000000001" customHeight="1" x14ac:dyDescent="0.3">
      <c r="A95" s="147"/>
      <c r="B95" s="20" t="s">
        <v>1362</v>
      </c>
      <c r="C95" s="21" t="s">
        <v>65</v>
      </c>
      <c r="D95" s="21" t="s">
        <v>50</v>
      </c>
      <c r="E95" s="57" t="s">
        <v>27</v>
      </c>
      <c r="F95" s="21" t="s">
        <v>13</v>
      </c>
      <c r="G95" s="57" t="s">
        <v>115</v>
      </c>
      <c r="H95" s="9">
        <f>CEILING(2940*USD,10)</f>
        <v>224180</v>
      </c>
      <c r="I95" s="8"/>
      <c r="J95" s="9"/>
    </row>
    <row r="96" spans="1:10" ht="20.100000000000001" customHeight="1" x14ac:dyDescent="0.3">
      <c r="A96" s="159" t="s">
        <v>67</v>
      </c>
      <c r="B96" s="159"/>
      <c r="C96" s="159"/>
      <c r="D96" s="159"/>
      <c r="E96" s="159"/>
      <c r="F96" s="159"/>
      <c r="G96" s="159"/>
      <c r="H96" s="159"/>
      <c r="I96" s="159"/>
      <c r="J96" s="159"/>
    </row>
    <row r="97" spans="1:10" ht="20.100000000000001" customHeight="1" x14ac:dyDescent="0.3">
      <c r="A97" s="181" t="s">
        <v>1375</v>
      </c>
      <c r="B97" s="182"/>
      <c r="C97" s="182"/>
      <c r="D97" s="182"/>
      <c r="E97" s="182"/>
      <c r="F97" s="182"/>
      <c r="G97" s="183"/>
      <c r="H97" s="9">
        <v>14790</v>
      </c>
      <c r="I97" s="8"/>
      <c r="J97" s="9"/>
    </row>
    <row r="98" spans="1:10" ht="20.100000000000001" customHeight="1" x14ac:dyDescent="0.3">
      <c r="A98" s="181" t="s">
        <v>1135</v>
      </c>
      <c r="B98" s="182"/>
      <c r="C98" s="182"/>
      <c r="D98" s="182"/>
      <c r="E98" s="182"/>
      <c r="F98" s="182"/>
      <c r="G98" s="183"/>
      <c r="H98" s="9">
        <v>1224</v>
      </c>
      <c r="I98" s="8"/>
      <c r="J98" s="9"/>
    </row>
    <row r="99" spans="1:10" ht="20.100000000000001" customHeight="1" x14ac:dyDescent="0.3">
      <c r="A99" s="181" t="s">
        <v>945</v>
      </c>
      <c r="B99" s="182"/>
      <c r="C99" s="182"/>
      <c r="D99" s="182"/>
      <c r="E99" s="182"/>
      <c r="F99" s="182"/>
      <c r="G99" s="183"/>
      <c r="H99" s="9">
        <v>1630</v>
      </c>
      <c r="I99" s="8"/>
      <c r="J99" s="9"/>
    </row>
    <row r="100" spans="1:10" ht="20.100000000000001" customHeight="1" x14ac:dyDescent="0.3">
      <c r="A100" s="181" t="s">
        <v>1363</v>
      </c>
      <c r="B100" s="182"/>
      <c r="C100" s="182"/>
      <c r="D100" s="182"/>
      <c r="E100" s="182"/>
      <c r="F100" s="182"/>
      <c r="G100" s="183"/>
      <c r="H100" s="9">
        <f>CEILING(640*USD,10)</f>
        <v>48800</v>
      </c>
      <c r="I100" s="8"/>
      <c r="J100" s="9"/>
    </row>
    <row r="101" spans="1:10" ht="20.100000000000001" customHeight="1" x14ac:dyDescent="0.3">
      <c r="A101" s="181" t="s">
        <v>1364</v>
      </c>
      <c r="B101" s="182"/>
      <c r="C101" s="182"/>
      <c r="D101" s="182"/>
      <c r="E101" s="182"/>
      <c r="F101" s="182"/>
      <c r="G101" s="183"/>
      <c r="H101" s="9">
        <f>CEILING(31*USD,10)</f>
        <v>2370</v>
      </c>
      <c r="I101" s="8"/>
      <c r="J101" s="9"/>
    </row>
    <row r="102" spans="1:10" ht="20.100000000000001" customHeight="1" x14ac:dyDescent="0.3">
      <c r="A102" s="181" t="s">
        <v>1365</v>
      </c>
      <c r="B102" s="182"/>
      <c r="C102" s="182"/>
      <c r="D102" s="182"/>
      <c r="E102" s="182"/>
      <c r="F102" s="182"/>
      <c r="G102" s="183"/>
      <c r="H102" s="9">
        <f>CEILING(335*USD,10)</f>
        <v>25550</v>
      </c>
      <c r="I102" s="8"/>
      <c r="J102" s="9"/>
    </row>
    <row r="103" spans="1:10" ht="20.100000000000001" customHeight="1" x14ac:dyDescent="0.3">
      <c r="A103" s="181" t="s">
        <v>116</v>
      </c>
      <c r="B103" s="182"/>
      <c r="C103" s="182"/>
      <c r="D103" s="182"/>
      <c r="E103" s="182"/>
      <c r="F103" s="182"/>
      <c r="G103" s="183"/>
      <c r="H103" s="9">
        <f>CEILING(640*USD,10)</f>
        <v>48800</v>
      </c>
      <c r="I103" s="8"/>
      <c r="J103" s="9"/>
    </row>
    <row r="104" spans="1:10" ht="20.100000000000001" customHeight="1" x14ac:dyDescent="0.3">
      <c r="A104" s="181" t="s">
        <v>117</v>
      </c>
      <c r="B104" s="182"/>
      <c r="C104" s="182"/>
      <c r="D104" s="182"/>
      <c r="E104" s="182"/>
      <c r="F104" s="182"/>
      <c r="G104" s="183"/>
      <c r="H104" s="9">
        <f>CEILING(460*USD,10)</f>
        <v>35080</v>
      </c>
      <c r="I104" s="8"/>
      <c r="J104" s="9"/>
    </row>
    <row r="105" spans="1:10" ht="20.100000000000001" customHeight="1" x14ac:dyDescent="0.3">
      <c r="A105" s="181" t="s">
        <v>118</v>
      </c>
      <c r="B105" s="182"/>
      <c r="C105" s="182"/>
      <c r="D105" s="182"/>
      <c r="E105" s="182"/>
      <c r="F105" s="182"/>
      <c r="G105" s="183"/>
      <c r="H105" s="9">
        <f>CEILING(365*USD,10)</f>
        <v>27840</v>
      </c>
      <c r="I105" s="8"/>
      <c r="J105" s="9"/>
    </row>
    <row r="106" spans="1:10" ht="20.100000000000001" customHeight="1" x14ac:dyDescent="0.3">
      <c r="A106" s="181" t="s">
        <v>1136</v>
      </c>
      <c r="B106" s="182"/>
      <c r="C106" s="182"/>
      <c r="D106" s="182"/>
      <c r="E106" s="182"/>
      <c r="F106" s="182"/>
      <c r="G106" s="183"/>
      <c r="H106" s="9">
        <f>CEILING(670*USD,10)</f>
        <v>51090</v>
      </c>
      <c r="I106" s="8"/>
      <c r="J106" s="9"/>
    </row>
    <row r="107" spans="1:10" ht="20.100000000000001" customHeight="1" x14ac:dyDescent="0.3">
      <c r="A107" s="181" t="s">
        <v>111</v>
      </c>
      <c r="B107" s="182"/>
      <c r="C107" s="182"/>
      <c r="D107" s="182"/>
      <c r="E107" s="182"/>
      <c r="F107" s="182"/>
      <c r="G107" s="183"/>
      <c r="H107" s="9">
        <f>CEILING(367*USD,10)</f>
        <v>27990</v>
      </c>
      <c r="I107" s="8"/>
      <c r="J107" s="9"/>
    </row>
    <row r="108" spans="1:10" ht="20.100000000000001" customHeight="1" x14ac:dyDescent="0.3">
      <c r="A108" s="181" t="s">
        <v>74</v>
      </c>
      <c r="B108" s="182"/>
      <c r="C108" s="182"/>
      <c r="D108" s="182"/>
      <c r="E108" s="182"/>
      <c r="F108" s="182"/>
      <c r="G108" s="183"/>
      <c r="H108" s="9">
        <f>CEILING(455*USD,10)</f>
        <v>34700</v>
      </c>
      <c r="I108" s="8"/>
      <c r="J108" s="9"/>
    </row>
    <row r="109" spans="1:10" ht="20.100000000000001" customHeight="1" x14ac:dyDescent="0.3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</row>
    <row r="110" spans="1:10" ht="39.9" customHeight="1" x14ac:dyDescent="0.3">
      <c r="A110" s="139" t="s">
        <v>1427</v>
      </c>
      <c r="B110" s="140"/>
      <c r="C110" s="140"/>
      <c r="D110" s="140"/>
      <c r="E110" s="140"/>
      <c r="F110" s="140"/>
      <c r="G110" s="140"/>
      <c r="H110" s="140"/>
      <c r="I110" s="140"/>
      <c r="J110" s="140"/>
    </row>
    <row r="111" spans="1:10" ht="30" customHeight="1" x14ac:dyDescent="0.3">
      <c r="A111" s="59"/>
      <c r="B111" s="38" t="s">
        <v>2</v>
      </c>
      <c r="C111" s="4" t="s">
        <v>42</v>
      </c>
      <c r="D111" s="4" t="s">
        <v>43</v>
      </c>
      <c r="E111" s="38" t="s">
        <v>9</v>
      </c>
      <c r="F111" s="38" t="s">
        <v>10</v>
      </c>
      <c r="G111" s="4" t="s">
        <v>11</v>
      </c>
      <c r="H111" s="4" t="s">
        <v>17</v>
      </c>
      <c r="I111" s="4"/>
      <c r="J111" s="4"/>
    </row>
    <row r="112" spans="1:10" ht="20.100000000000001" customHeight="1" x14ac:dyDescent="0.3">
      <c r="A112" s="147"/>
      <c r="B112" s="6" t="s">
        <v>1378</v>
      </c>
      <c r="C112" s="21" t="s">
        <v>46</v>
      </c>
      <c r="D112" s="21" t="s">
        <v>48</v>
      </c>
      <c r="E112" s="59" t="s">
        <v>909</v>
      </c>
      <c r="F112" s="21" t="s">
        <v>165</v>
      </c>
      <c r="G112" s="59" t="s">
        <v>103</v>
      </c>
      <c r="H112" s="9">
        <f>CEILING(1305*USD,10)</f>
        <v>99510</v>
      </c>
      <c r="I112" s="8"/>
      <c r="J112" s="9"/>
    </row>
    <row r="113" spans="1:10" ht="20.100000000000001" customHeight="1" x14ac:dyDescent="0.3">
      <c r="A113" s="147"/>
      <c r="B113" s="6" t="s">
        <v>1379</v>
      </c>
      <c r="C113" s="21" t="s">
        <v>46</v>
      </c>
      <c r="D113" s="21" t="s">
        <v>48</v>
      </c>
      <c r="E113" s="62" t="s">
        <v>909</v>
      </c>
      <c r="F113" s="59" t="s">
        <v>13</v>
      </c>
      <c r="G113" s="59" t="s">
        <v>103</v>
      </c>
      <c r="H113" s="9">
        <f>CEILING(1220*USD,10)</f>
        <v>93030</v>
      </c>
      <c r="I113" s="8"/>
      <c r="J113" s="9"/>
    </row>
    <row r="114" spans="1:10" ht="20.100000000000001" customHeight="1" x14ac:dyDescent="0.3">
      <c r="A114" s="147"/>
      <c r="B114" s="6" t="s">
        <v>1380</v>
      </c>
      <c r="C114" s="21" t="s">
        <v>52</v>
      </c>
      <c r="D114" s="21" t="s">
        <v>48</v>
      </c>
      <c r="E114" s="62" t="s">
        <v>909</v>
      </c>
      <c r="F114" s="21" t="s">
        <v>165</v>
      </c>
      <c r="G114" s="59" t="s">
        <v>103</v>
      </c>
      <c r="H114" s="9">
        <f>CEILING(1425*USD,10)</f>
        <v>108660</v>
      </c>
      <c r="I114" s="8"/>
      <c r="J114" s="9"/>
    </row>
    <row r="115" spans="1:10" ht="20.100000000000001" customHeight="1" x14ac:dyDescent="0.3">
      <c r="A115" s="147"/>
      <c r="B115" s="6" t="s">
        <v>1381</v>
      </c>
      <c r="C115" s="21" t="s">
        <v>52</v>
      </c>
      <c r="D115" s="21" t="s">
        <v>48</v>
      </c>
      <c r="E115" s="62" t="s">
        <v>909</v>
      </c>
      <c r="F115" s="59" t="s">
        <v>13</v>
      </c>
      <c r="G115" s="59" t="s">
        <v>103</v>
      </c>
      <c r="H115" s="9">
        <f>CEILING(1305*USD,10)</f>
        <v>99510</v>
      </c>
      <c r="I115" s="8"/>
      <c r="J115" s="9"/>
    </row>
    <row r="116" spans="1:10" ht="20.100000000000001" customHeight="1" x14ac:dyDescent="0.3">
      <c r="A116" s="147"/>
      <c r="B116" s="6" t="s">
        <v>1382</v>
      </c>
      <c r="C116" s="21" t="s">
        <v>96</v>
      </c>
      <c r="D116" s="21" t="s">
        <v>48</v>
      </c>
      <c r="E116" s="62" t="s">
        <v>909</v>
      </c>
      <c r="F116" s="21" t="s">
        <v>165</v>
      </c>
      <c r="G116" s="59" t="s">
        <v>103</v>
      </c>
      <c r="H116" s="9">
        <f>CEILING(1630*USD,10)</f>
        <v>124290</v>
      </c>
      <c r="I116" s="8"/>
      <c r="J116" s="9"/>
    </row>
    <row r="117" spans="1:10" ht="20.100000000000001" customHeight="1" x14ac:dyDescent="0.3">
      <c r="A117" s="147"/>
      <c r="B117" s="6" t="s">
        <v>1383</v>
      </c>
      <c r="C117" s="21" t="s">
        <v>96</v>
      </c>
      <c r="D117" s="21" t="s">
        <v>48</v>
      </c>
      <c r="E117" s="62" t="s">
        <v>909</v>
      </c>
      <c r="F117" s="59" t="s">
        <v>13</v>
      </c>
      <c r="G117" s="59" t="s">
        <v>103</v>
      </c>
      <c r="H117" s="9">
        <f>CEILING(1510*USD,10)</f>
        <v>115140</v>
      </c>
      <c r="I117" s="8"/>
      <c r="J117" s="9"/>
    </row>
    <row r="118" spans="1:10" ht="20.100000000000001" customHeight="1" x14ac:dyDescent="0.3">
      <c r="A118" s="147"/>
      <c r="B118" s="6" t="s">
        <v>1384</v>
      </c>
      <c r="C118" s="21" t="s">
        <v>179</v>
      </c>
      <c r="D118" s="21" t="s">
        <v>49</v>
      </c>
      <c r="E118" s="62" t="s">
        <v>909</v>
      </c>
      <c r="F118" s="21" t="s">
        <v>165</v>
      </c>
      <c r="G118" s="59" t="s">
        <v>1396</v>
      </c>
      <c r="H118" s="9">
        <f>CEILING(1400*USD,10)</f>
        <v>106750</v>
      </c>
      <c r="I118" s="8"/>
      <c r="J118" s="9"/>
    </row>
    <row r="119" spans="1:10" ht="20.100000000000001" customHeight="1" x14ac:dyDescent="0.3">
      <c r="A119" s="147"/>
      <c r="B119" s="6" t="s">
        <v>1385</v>
      </c>
      <c r="C119" s="21" t="s">
        <v>179</v>
      </c>
      <c r="D119" s="21" t="s">
        <v>49</v>
      </c>
      <c r="E119" s="62" t="s">
        <v>909</v>
      </c>
      <c r="F119" s="59" t="s">
        <v>13</v>
      </c>
      <c r="G119" s="59" t="s">
        <v>1396</v>
      </c>
      <c r="H119" s="9">
        <f>CEILING(1220*USD,10)</f>
        <v>93030</v>
      </c>
      <c r="I119" s="8"/>
      <c r="J119" s="9"/>
    </row>
    <row r="120" spans="1:10" ht="20.100000000000001" customHeight="1" x14ac:dyDescent="0.3">
      <c r="A120" s="147"/>
      <c r="B120" s="6" t="s">
        <v>1386</v>
      </c>
      <c r="C120" s="21" t="s">
        <v>58</v>
      </c>
      <c r="D120" s="21" t="s">
        <v>49</v>
      </c>
      <c r="E120" s="62" t="s">
        <v>909</v>
      </c>
      <c r="F120" s="21" t="s">
        <v>165</v>
      </c>
      <c r="G120" s="59" t="s">
        <v>1396</v>
      </c>
      <c r="H120" s="9">
        <f>CEILING(1400*USD,10)</f>
        <v>106750</v>
      </c>
      <c r="I120" s="8"/>
      <c r="J120" s="9"/>
    </row>
    <row r="121" spans="1:10" ht="20.100000000000001" customHeight="1" x14ac:dyDescent="0.3">
      <c r="A121" s="147"/>
      <c r="B121" s="6" t="s">
        <v>1387</v>
      </c>
      <c r="C121" s="21" t="s">
        <v>58</v>
      </c>
      <c r="D121" s="21" t="s">
        <v>49</v>
      </c>
      <c r="E121" s="62" t="s">
        <v>909</v>
      </c>
      <c r="F121" s="59" t="s">
        <v>13</v>
      </c>
      <c r="G121" s="59" t="s">
        <v>1396</v>
      </c>
      <c r="H121" s="9">
        <f>CEILING(1220*USD,10)</f>
        <v>93030</v>
      </c>
      <c r="I121" s="8"/>
      <c r="J121" s="9"/>
    </row>
    <row r="122" spans="1:10" ht="20.100000000000001" customHeight="1" x14ac:dyDescent="0.3">
      <c r="A122" s="147"/>
      <c r="B122" s="6" t="s">
        <v>1388</v>
      </c>
      <c r="C122" s="21" t="s">
        <v>98</v>
      </c>
      <c r="D122" s="21" t="s">
        <v>49</v>
      </c>
      <c r="E122" s="62" t="s">
        <v>909</v>
      </c>
      <c r="F122" s="21" t="s">
        <v>165</v>
      </c>
      <c r="G122" s="59" t="s">
        <v>1396</v>
      </c>
      <c r="H122" s="9">
        <f>CEILING(1590*USD,10)</f>
        <v>121240</v>
      </c>
      <c r="I122" s="8"/>
      <c r="J122" s="9"/>
    </row>
    <row r="123" spans="1:10" ht="20.100000000000001" customHeight="1" x14ac:dyDescent="0.3">
      <c r="A123" s="147"/>
      <c r="B123" s="6" t="s">
        <v>1389</v>
      </c>
      <c r="C123" s="21" t="s">
        <v>98</v>
      </c>
      <c r="D123" s="21" t="s">
        <v>49</v>
      </c>
      <c r="E123" s="62" t="s">
        <v>909</v>
      </c>
      <c r="F123" s="59" t="s">
        <v>13</v>
      </c>
      <c r="G123" s="59" t="s">
        <v>1396</v>
      </c>
      <c r="H123" s="9">
        <f>CEILING(1260*USD,10)</f>
        <v>96080</v>
      </c>
      <c r="I123" s="8"/>
      <c r="J123" s="9"/>
    </row>
    <row r="124" spans="1:10" ht="20.100000000000001" customHeight="1" x14ac:dyDescent="0.3">
      <c r="A124" s="147"/>
      <c r="B124" s="6" t="s">
        <v>1390</v>
      </c>
      <c r="C124" s="21" t="s">
        <v>100</v>
      </c>
      <c r="D124" s="21" t="s">
        <v>49</v>
      </c>
      <c r="E124" s="62" t="s">
        <v>909</v>
      </c>
      <c r="F124" s="21" t="s">
        <v>165</v>
      </c>
      <c r="G124" s="59" t="s">
        <v>1396</v>
      </c>
      <c r="H124" s="9">
        <f>CEILING(1610*USD,10)</f>
        <v>122770</v>
      </c>
      <c r="I124" s="8"/>
      <c r="J124" s="9"/>
    </row>
    <row r="125" spans="1:10" ht="20.100000000000001" customHeight="1" x14ac:dyDescent="0.3">
      <c r="A125" s="147"/>
      <c r="B125" s="6" t="s">
        <v>1391</v>
      </c>
      <c r="C125" s="21" t="s">
        <v>100</v>
      </c>
      <c r="D125" s="21" t="s">
        <v>49</v>
      </c>
      <c r="E125" s="62" t="s">
        <v>909</v>
      </c>
      <c r="F125" s="59" t="s">
        <v>13</v>
      </c>
      <c r="G125" s="59" t="s">
        <v>1396</v>
      </c>
      <c r="H125" s="9">
        <f>CEILING(1530*USD,10)</f>
        <v>116670</v>
      </c>
      <c r="I125" s="8"/>
      <c r="J125" s="9"/>
    </row>
    <row r="126" spans="1:10" ht="20.100000000000001" customHeight="1" x14ac:dyDescent="0.3">
      <c r="A126" s="147"/>
      <c r="B126" s="6" t="s">
        <v>1392</v>
      </c>
      <c r="C126" s="21" t="s">
        <v>101</v>
      </c>
      <c r="D126" s="21" t="s">
        <v>50</v>
      </c>
      <c r="E126" s="62" t="s">
        <v>909</v>
      </c>
      <c r="F126" s="21" t="s">
        <v>165</v>
      </c>
      <c r="G126" s="59" t="s">
        <v>1396</v>
      </c>
      <c r="H126" s="9">
        <f>CEILING(1400*USD,10)</f>
        <v>106750</v>
      </c>
      <c r="I126" s="8"/>
      <c r="J126" s="9"/>
    </row>
    <row r="127" spans="1:10" ht="20.100000000000001" customHeight="1" x14ac:dyDescent="0.3">
      <c r="A127" s="147"/>
      <c r="B127" s="6" t="s">
        <v>1393</v>
      </c>
      <c r="C127" s="21" t="s">
        <v>101</v>
      </c>
      <c r="D127" s="21" t="s">
        <v>50</v>
      </c>
      <c r="E127" s="62" t="s">
        <v>909</v>
      </c>
      <c r="F127" s="59" t="s">
        <v>13</v>
      </c>
      <c r="G127" s="59" t="s">
        <v>1396</v>
      </c>
      <c r="H127" s="9">
        <f>CEILING(1150*USD,10)</f>
        <v>87690</v>
      </c>
      <c r="I127" s="8"/>
      <c r="J127" s="9"/>
    </row>
    <row r="128" spans="1:10" ht="20.100000000000001" customHeight="1" x14ac:dyDescent="0.3">
      <c r="A128" s="147"/>
      <c r="B128" s="6" t="s">
        <v>1394</v>
      </c>
      <c r="C128" s="21" t="s">
        <v>62</v>
      </c>
      <c r="D128" s="21" t="s">
        <v>50</v>
      </c>
      <c r="E128" s="62" t="s">
        <v>909</v>
      </c>
      <c r="F128" s="21" t="s">
        <v>165</v>
      </c>
      <c r="G128" s="59" t="s">
        <v>1396</v>
      </c>
      <c r="H128" s="9">
        <f>CEILING(1935*USD,10)</f>
        <v>147550</v>
      </c>
      <c r="I128" s="8"/>
      <c r="J128" s="9"/>
    </row>
    <row r="129" spans="1:12" ht="20.100000000000001" customHeight="1" x14ac:dyDescent="0.3">
      <c r="A129" s="147"/>
      <c r="B129" s="6" t="s">
        <v>1395</v>
      </c>
      <c r="C129" s="21" t="s">
        <v>62</v>
      </c>
      <c r="D129" s="21" t="s">
        <v>50</v>
      </c>
      <c r="E129" s="62" t="s">
        <v>909</v>
      </c>
      <c r="F129" s="59" t="s">
        <v>13</v>
      </c>
      <c r="G129" s="59" t="s">
        <v>1396</v>
      </c>
      <c r="H129" s="9">
        <f>CEILING(1835*USD,10)</f>
        <v>139920</v>
      </c>
      <c r="I129" s="8"/>
      <c r="J129" s="9"/>
    </row>
    <row r="130" spans="1:12" ht="20.100000000000001" customHeight="1" x14ac:dyDescent="0.3">
      <c r="A130" s="159" t="s">
        <v>67</v>
      </c>
      <c r="B130" s="159"/>
      <c r="C130" s="159"/>
      <c r="D130" s="159"/>
      <c r="E130" s="159"/>
      <c r="F130" s="159"/>
      <c r="G130" s="159"/>
      <c r="H130" s="159"/>
      <c r="I130" s="159"/>
      <c r="J130" s="159"/>
    </row>
    <row r="131" spans="1:12" ht="20.100000000000001" customHeight="1" x14ac:dyDescent="0.3">
      <c r="A131" s="181" t="s">
        <v>1135</v>
      </c>
      <c r="B131" s="182"/>
      <c r="C131" s="182"/>
      <c r="D131" s="182"/>
      <c r="E131" s="182"/>
      <c r="F131" s="182"/>
      <c r="G131" s="183"/>
      <c r="H131" s="9">
        <v>1220</v>
      </c>
      <c r="I131" s="8"/>
      <c r="J131" s="9"/>
    </row>
    <row r="132" spans="1:12" ht="20.100000000000001" customHeight="1" x14ac:dyDescent="0.3">
      <c r="A132" s="181" t="s">
        <v>1136</v>
      </c>
      <c r="B132" s="182"/>
      <c r="C132" s="182"/>
      <c r="D132" s="182"/>
      <c r="E132" s="182"/>
      <c r="F132" s="182"/>
      <c r="G132" s="183"/>
      <c r="H132" s="9">
        <f>CEILING(670*USD,10)</f>
        <v>51090</v>
      </c>
      <c r="I132" s="8"/>
      <c r="J132" s="9"/>
    </row>
    <row r="133" spans="1:12" ht="20.100000000000001" customHeight="1" x14ac:dyDescent="0.3">
      <c r="A133" s="181" t="s">
        <v>74</v>
      </c>
      <c r="B133" s="182"/>
      <c r="C133" s="182"/>
      <c r="D133" s="182"/>
      <c r="E133" s="182"/>
      <c r="F133" s="182"/>
      <c r="G133" s="183"/>
      <c r="H133" s="9">
        <f>CEILING(455*USD,10)</f>
        <v>34700</v>
      </c>
      <c r="I133" s="8"/>
      <c r="J133" s="9"/>
    </row>
    <row r="134" spans="1:12" ht="20.100000000000001" customHeight="1" x14ac:dyDescent="0.3">
      <c r="A134" s="181" t="s">
        <v>1397</v>
      </c>
      <c r="B134" s="182"/>
      <c r="C134" s="182"/>
      <c r="D134" s="182"/>
      <c r="E134" s="182"/>
      <c r="F134" s="182"/>
      <c r="G134" s="183"/>
      <c r="H134" s="9">
        <f>CEILING(830*USD,10)</f>
        <v>63290</v>
      </c>
      <c r="I134" s="8"/>
      <c r="J134" s="9"/>
    </row>
    <row r="135" spans="1:12" ht="20.100000000000001" customHeight="1" x14ac:dyDescent="0.3">
      <c r="A135" s="181" t="s">
        <v>1398</v>
      </c>
      <c r="B135" s="182"/>
      <c r="C135" s="182"/>
      <c r="D135" s="182"/>
      <c r="E135" s="182"/>
      <c r="F135" s="182"/>
      <c r="G135" s="183"/>
      <c r="H135" s="9">
        <f>CEILING(800*USD,10)</f>
        <v>61000</v>
      </c>
      <c r="I135" s="8"/>
      <c r="J135" s="9"/>
    </row>
    <row r="136" spans="1:12" ht="20.100000000000001" customHeight="1" x14ac:dyDescent="0.3">
      <c r="A136" s="181" t="s">
        <v>1399</v>
      </c>
      <c r="B136" s="182"/>
      <c r="C136" s="182"/>
      <c r="D136" s="182"/>
      <c r="E136" s="182"/>
      <c r="F136" s="182"/>
      <c r="G136" s="183"/>
      <c r="H136" s="9">
        <f>CEILING(245*USD,10)</f>
        <v>18690</v>
      </c>
      <c r="I136" s="8"/>
      <c r="J136" s="9"/>
    </row>
    <row r="137" spans="1:12" ht="20.100000000000001" customHeight="1" x14ac:dyDescent="0.3">
      <c r="A137" s="181" t="s">
        <v>1400</v>
      </c>
      <c r="B137" s="182"/>
      <c r="C137" s="182"/>
      <c r="D137" s="182"/>
      <c r="E137" s="182"/>
      <c r="F137" s="182"/>
      <c r="G137" s="183"/>
      <c r="H137" s="9">
        <f>CEILING(310*USD,10)</f>
        <v>23640</v>
      </c>
      <c r="I137" s="8"/>
      <c r="J137" s="9"/>
    </row>
    <row r="138" spans="1:12" ht="20.100000000000001" customHeight="1" x14ac:dyDescent="0.3">
      <c r="A138" s="181" t="s">
        <v>1401</v>
      </c>
      <c r="B138" s="182"/>
      <c r="C138" s="182"/>
      <c r="D138" s="182"/>
      <c r="E138" s="182"/>
      <c r="F138" s="182"/>
      <c r="G138" s="183"/>
      <c r="H138" s="9">
        <f>CEILING(31*USD,10)</f>
        <v>2370</v>
      </c>
      <c r="I138" s="8"/>
      <c r="J138" s="9"/>
    </row>
    <row r="139" spans="1:12" ht="20.100000000000001" customHeight="1" x14ac:dyDescent="0.3">
      <c r="A139" s="181" t="s">
        <v>1402</v>
      </c>
      <c r="B139" s="182"/>
      <c r="C139" s="182"/>
      <c r="D139" s="182"/>
      <c r="E139" s="182"/>
      <c r="F139" s="182"/>
      <c r="G139" s="183"/>
      <c r="H139" s="9">
        <f>CEILING(31*USD,10)</f>
        <v>2370</v>
      </c>
      <c r="I139" s="8"/>
      <c r="J139" s="9"/>
    </row>
    <row r="140" spans="1:12" ht="20.100000000000001" customHeight="1" x14ac:dyDescent="0.3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</row>
    <row r="141" spans="1:12" ht="39.9" customHeight="1" x14ac:dyDescent="0.3">
      <c r="A141" s="150" t="s">
        <v>1366</v>
      </c>
      <c r="B141" s="151"/>
      <c r="C141" s="151"/>
      <c r="D141" s="151"/>
      <c r="E141" s="151"/>
      <c r="F141" s="151"/>
      <c r="G141" s="151"/>
      <c r="H141" s="151"/>
      <c r="I141" s="151"/>
      <c r="J141" s="151"/>
    </row>
    <row r="142" spans="1:12" ht="30" customHeight="1" x14ac:dyDescent="0.3">
      <c r="A142" s="5"/>
      <c r="B142" s="3" t="s">
        <v>2</v>
      </c>
      <c r="C142" s="4" t="s">
        <v>42</v>
      </c>
      <c r="D142" s="4" t="s">
        <v>43</v>
      </c>
      <c r="E142" s="3" t="s">
        <v>9</v>
      </c>
      <c r="F142" s="3" t="s">
        <v>10</v>
      </c>
      <c r="G142" s="4" t="s">
        <v>11</v>
      </c>
      <c r="H142" s="4" t="s">
        <v>17</v>
      </c>
      <c r="I142" s="4"/>
      <c r="J142" s="4"/>
    </row>
    <row r="143" spans="1:12" ht="20.100000000000001" customHeight="1" x14ac:dyDescent="0.3">
      <c r="A143" s="147"/>
      <c r="B143" s="20" t="s">
        <v>77</v>
      </c>
      <c r="C143" s="5" t="s">
        <v>46</v>
      </c>
      <c r="D143" s="5" t="s">
        <v>48</v>
      </c>
      <c r="E143" s="5" t="s">
        <v>27</v>
      </c>
      <c r="F143" s="5" t="s">
        <v>13</v>
      </c>
      <c r="G143" s="5" t="s">
        <v>103</v>
      </c>
      <c r="H143" s="9">
        <f>CEILING(1120*USD,10)</f>
        <v>85400</v>
      </c>
      <c r="I143" s="8"/>
      <c r="J143" s="9"/>
      <c r="L143" s="12" t="s">
        <v>1762</v>
      </c>
    </row>
    <row r="144" spans="1:12" ht="20.100000000000001" customHeight="1" x14ac:dyDescent="0.3">
      <c r="A144" s="147"/>
      <c r="B144" s="20" t="s">
        <v>78</v>
      </c>
      <c r="C144" s="5" t="s">
        <v>46</v>
      </c>
      <c r="D144" s="5" t="s">
        <v>48</v>
      </c>
      <c r="E144" s="5" t="s">
        <v>27</v>
      </c>
      <c r="F144" s="5" t="s">
        <v>15</v>
      </c>
      <c r="G144" s="5" t="s">
        <v>103</v>
      </c>
      <c r="H144" s="9">
        <f>CEILING(1195*USD,10)</f>
        <v>91120</v>
      </c>
      <c r="I144" s="8"/>
      <c r="J144" s="9"/>
      <c r="L144" s="12" t="s">
        <v>1762</v>
      </c>
    </row>
    <row r="145" spans="1:12" ht="20.100000000000001" customHeight="1" x14ac:dyDescent="0.3">
      <c r="A145" s="147"/>
      <c r="B145" s="20" t="s">
        <v>79</v>
      </c>
      <c r="C145" s="5" t="s">
        <v>52</v>
      </c>
      <c r="D145" s="5" t="s">
        <v>48</v>
      </c>
      <c r="E145" s="5" t="s">
        <v>27</v>
      </c>
      <c r="F145" s="5" t="s">
        <v>13</v>
      </c>
      <c r="G145" s="5" t="s">
        <v>103</v>
      </c>
      <c r="H145" s="9">
        <f>CEILING(1200*USD,10)</f>
        <v>91500</v>
      </c>
      <c r="I145" s="8"/>
      <c r="J145" s="9"/>
      <c r="L145" s="12" t="s">
        <v>1762</v>
      </c>
    </row>
    <row r="146" spans="1:12" ht="20.100000000000001" customHeight="1" x14ac:dyDescent="0.3">
      <c r="A146" s="147"/>
      <c r="B146" s="20" t="s">
        <v>80</v>
      </c>
      <c r="C146" s="5" t="s">
        <v>52</v>
      </c>
      <c r="D146" s="5" t="s">
        <v>48</v>
      </c>
      <c r="E146" s="5" t="s">
        <v>27</v>
      </c>
      <c r="F146" s="5" t="s">
        <v>15</v>
      </c>
      <c r="G146" s="5" t="s">
        <v>103</v>
      </c>
      <c r="H146" s="9">
        <f>CEILING(1305*USD,10)</f>
        <v>99510</v>
      </c>
      <c r="I146" s="8"/>
      <c r="J146" s="9"/>
      <c r="L146" s="12" t="s">
        <v>1762</v>
      </c>
    </row>
    <row r="147" spans="1:12" ht="20.100000000000001" customHeight="1" x14ac:dyDescent="0.3">
      <c r="A147" s="147"/>
      <c r="B147" s="20" t="s">
        <v>81</v>
      </c>
      <c r="C147" s="5" t="s">
        <v>53</v>
      </c>
      <c r="D147" s="5" t="s">
        <v>48</v>
      </c>
      <c r="E147" s="5" t="s">
        <v>27</v>
      </c>
      <c r="F147" s="5" t="s">
        <v>13</v>
      </c>
      <c r="G147" s="5" t="s">
        <v>103</v>
      </c>
      <c r="H147" s="9">
        <f>CEILING(1260*USD,10)</f>
        <v>96080</v>
      </c>
      <c r="I147" s="8"/>
      <c r="J147" s="9"/>
      <c r="L147" s="12" t="s">
        <v>1762</v>
      </c>
    </row>
    <row r="148" spans="1:12" ht="20.100000000000001" customHeight="1" x14ac:dyDescent="0.3">
      <c r="A148" s="147"/>
      <c r="B148" s="20" t="s">
        <v>82</v>
      </c>
      <c r="C148" s="5" t="s">
        <v>53</v>
      </c>
      <c r="D148" s="5" t="s">
        <v>48</v>
      </c>
      <c r="E148" s="5" t="s">
        <v>27</v>
      </c>
      <c r="F148" s="5" t="s">
        <v>15</v>
      </c>
      <c r="G148" s="5" t="s">
        <v>103</v>
      </c>
      <c r="H148" s="9">
        <f>CEILING(1400*USD,10)</f>
        <v>106750</v>
      </c>
      <c r="I148" s="8"/>
      <c r="J148" s="9"/>
      <c r="L148" s="12" t="s">
        <v>1762</v>
      </c>
    </row>
    <row r="149" spans="1:12" ht="20.100000000000001" customHeight="1" x14ac:dyDescent="0.3">
      <c r="A149" s="147"/>
      <c r="B149" s="20" t="s">
        <v>83</v>
      </c>
      <c r="C149" s="5" t="s">
        <v>96</v>
      </c>
      <c r="D149" s="5" t="s">
        <v>48</v>
      </c>
      <c r="E149" s="5" t="s">
        <v>14</v>
      </c>
      <c r="F149" s="5" t="s">
        <v>13</v>
      </c>
      <c r="G149" s="5" t="s">
        <v>103</v>
      </c>
      <c r="H149" s="9">
        <f>CEILING(1385*USD,10)</f>
        <v>105610</v>
      </c>
      <c r="I149" s="8"/>
      <c r="J149" s="9"/>
      <c r="L149" s="12" t="s">
        <v>1762</v>
      </c>
    </row>
    <row r="150" spans="1:12" ht="20.100000000000001" customHeight="1" x14ac:dyDescent="0.3">
      <c r="A150" s="147"/>
      <c r="B150" s="20" t="s">
        <v>84</v>
      </c>
      <c r="C150" s="5" t="s">
        <v>96</v>
      </c>
      <c r="D150" s="5" t="s">
        <v>48</v>
      </c>
      <c r="E150" s="5" t="s">
        <v>14</v>
      </c>
      <c r="F150" s="5" t="s">
        <v>15</v>
      </c>
      <c r="G150" s="5" t="s">
        <v>103</v>
      </c>
      <c r="H150" s="9">
        <f>CEILING(1495*USD,10)</f>
        <v>114000</v>
      </c>
      <c r="I150" s="8"/>
      <c r="J150" s="9"/>
      <c r="L150" s="12" t="s">
        <v>1762</v>
      </c>
    </row>
    <row r="151" spans="1:12" ht="20.100000000000001" customHeight="1" x14ac:dyDescent="0.3">
      <c r="A151" s="147"/>
      <c r="B151" s="20" t="s">
        <v>85</v>
      </c>
      <c r="C151" s="5" t="s">
        <v>97</v>
      </c>
      <c r="D151" s="5" t="s">
        <v>49</v>
      </c>
      <c r="E151" s="5" t="s">
        <v>14</v>
      </c>
      <c r="F151" s="5" t="s">
        <v>13</v>
      </c>
      <c r="G151" s="5" t="s">
        <v>104</v>
      </c>
      <c r="H151" s="9">
        <f>CEILING(930*USD,10)</f>
        <v>70920</v>
      </c>
      <c r="I151" s="8"/>
      <c r="J151" s="9"/>
      <c r="L151" s="12" t="s">
        <v>1762</v>
      </c>
    </row>
    <row r="152" spans="1:12" ht="20.100000000000001" customHeight="1" x14ac:dyDescent="0.3">
      <c r="A152" s="147"/>
      <c r="B152" s="20" t="s">
        <v>86</v>
      </c>
      <c r="C152" s="5" t="s">
        <v>57</v>
      </c>
      <c r="D152" s="5" t="s">
        <v>49</v>
      </c>
      <c r="E152" s="5" t="s">
        <v>27</v>
      </c>
      <c r="F152" s="5" t="s">
        <v>13</v>
      </c>
      <c r="G152" s="5" t="s">
        <v>104</v>
      </c>
      <c r="H152" s="9">
        <f>CEILING(1100*USD,10)</f>
        <v>83880</v>
      </c>
      <c r="I152" s="8"/>
      <c r="J152" s="9"/>
      <c r="L152" s="12" t="s">
        <v>1762</v>
      </c>
    </row>
    <row r="153" spans="1:12" ht="20.100000000000001" customHeight="1" x14ac:dyDescent="0.3">
      <c r="A153" s="147"/>
      <c r="B153" s="20" t="s">
        <v>87</v>
      </c>
      <c r="C153" s="5" t="s">
        <v>58</v>
      </c>
      <c r="D153" s="5" t="s">
        <v>49</v>
      </c>
      <c r="E153" s="5" t="s">
        <v>27</v>
      </c>
      <c r="F153" s="5" t="s">
        <v>13</v>
      </c>
      <c r="G153" s="5" t="s">
        <v>105</v>
      </c>
      <c r="H153" s="9">
        <f>CEILING(1120*USD,10)</f>
        <v>85400</v>
      </c>
      <c r="I153" s="8"/>
      <c r="J153" s="9"/>
      <c r="L153" s="12" t="s">
        <v>1762</v>
      </c>
    </row>
    <row r="154" spans="1:12" ht="20.100000000000001" customHeight="1" x14ac:dyDescent="0.3">
      <c r="A154" s="147"/>
      <c r="B154" s="20" t="s">
        <v>88</v>
      </c>
      <c r="C154" s="5" t="s">
        <v>58</v>
      </c>
      <c r="D154" s="5" t="s">
        <v>49</v>
      </c>
      <c r="E154" s="5" t="s">
        <v>27</v>
      </c>
      <c r="F154" s="5" t="s">
        <v>15</v>
      </c>
      <c r="G154" s="5" t="s">
        <v>105</v>
      </c>
      <c r="H154" s="9">
        <f>CEILING(1280*USD,10)</f>
        <v>97600</v>
      </c>
      <c r="I154" s="8"/>
      <c r="J154" s="9"/>
      <c r="L154" s="12" t="s">
        <v>1762</v>
      </c>
    </row>
    <row r="155" spans="1:12" ht="20.100000000000001" customHeight="1" x14ac:dyDescent="0.3">
      <c r="A155" s="147"/>
      <c r="B155" s="20" t="s">
        <v>89</v>
      </c>
      <c r="C155" s="5" t="s">
        <v>98</v>
      </c>
      <c r="D155" s="5" t="s">
        <v>49</v>
      </c>
      <c r="E155" s="5" t="s">
        <v>27</v>
      </c>
      <c r="F155" s="5" t="s">
        <v>13</v>
      </c>
      <c r="G155" s="5" t="s">
        <v>105</v>
      </c>
      <c r="H155" s="9">
        <f>CEILING(1150*USD,10)</f>
        <v>87690</v>
      </c>
      <c r="I155" s="8"/>
      <c r="J155" s="9"/>
      <c r="L155" s="12" t="s">
        <v>1762</v>
      </c>
    </row>
    <row r="156" spans="1:12" ht="20.100000000000001" customHeight="1" x14ac:dyDescent="0.3">
      <c r="A156" s="147"/>
      <c r="B156" s="20" t="s">
        <v>90</v>
      </c>
      <c r="C156" s="5" t="s">
        <v>98</v>
      </c>
      <c r="D156" s="5" t="s">
        <v>49</v>
      </c>
      <c r="E156" s="5" t="s">
        <v>27</v>
      </c>
      <c r="F156" s="5" t="s">
        <v>15</v>
      </c>
      <c r="G156" s="5" t="s">
        <v>105</v>
      </c>
      <c r="H156" s="9">
        <f>CEILING(1450*USD,10)</f>
        <v>110570</v>
      </c>
      <c r="I156" s="8"/>
      <c r="J156" s="9"/>
      <c r="L156" s="12" t="s">
        <v>1762</v>
      </c>
    </row>
    <row r="157" spans="1:12" ht="20.100000000000001" customHeight="1" x14ac:dyDescent="0.3">
      <c r="A157" s="147"/>
      <c r="B157" s="20" t="s">
        <v>91</v>
      </c>
      <c r="C157" s="5" t="s">
        <v>99</v>
      </c>
      <c r="D157" s="5" t="s">
        <v>49</v>
      </c>
      <c r="E157" s="5" t="s">
        <v>27</v>
      </c>
      <c r="F157" s="5" t="s">
        <v>13</v>
      </c>
      <c r="G157" s="5" t="s">
        <v>105</v>
      </c>
      <c r="H157" s="9">
        <f>CEILING(1285*USD,10)</f>
        <v>97990</v>
      </c>
      <c r="I157" s="8"/>
      <c r="J157" s="9"/>
      <c r="L157" s="12" t="s">
        <v>1762</v>
      </c>
    </row>
    <row r="158" spans="1:12" ht="20.100000000000001" customHeight="1" x14ac:dyDescent="0.3">
      <c r="A158" s="147"/>
      <c r="B158" s="20" t="s">
        <v>92</v>
      </c>
      <c r="C158" s="5" t="s">
        <v>99</v>
      </c>
      <c r="D158" s="5" t="s">
        <v>49</v>
      </c>
      <c r="E158" s="5" t="s">
        <v>27</v>
      </c>
      <c r="F158" s="5" t="s">
        <v>15</v>
      </c>
      <c r="G158" s="5" t="s">
        <v>105</v>
      </c>
      <c r="H158" s="9">
        <f>CEILING(1470*USD,10)</f>
        <v>112090</v>
      </c>
      <c r="I158" s="8"/>
      <c r="J158" s="9"/>
      <c r="L158" s="12" t="s">
        <v>1762</v>
      </c>
    </row>
    <row r="159" spans="1:12" ht="20.100000000000001" customHeight="1" x14ac:dyDescent="0.3">
      <c r="A159" s="147"/>
      <c r="B159" s="20" t="s">
        <v>93</v>
      </c>
      <c r="C159" s="5" t="s">
        <v>100</v>
      </c>
      <c r="D159" s="5" t="s">
        <v>49</v>
      </c>
      <c r="E159" s="5" t="s">
        <v>14</v>
      </c>
      <c r="F159" s="5" t="s">
        <v>13</v>
      </c>
      <c r="G159" s="5" t="s">
        <v>105</v>
      </c>
      <c r="H159" s="9">
        <f>CEILING(1400*USD,10)</f>
        <v>106750</v>
      </c>
      <c r="I159" s="8"/>
      <c r="J159" s="9"/>
      <c r="L159" s="12" t="s">
        <v>1762</v>
      </c>
    </row>
    <row r="160" spans="1:12" ht="20.100000000000001" customHeight="1" x14ac:dyDescent="0.3">
      <c r="A160" s="147"/>
      <c r="B160" s="20" t="s">
        <v>94</v>
      </c>
      <c r="C160" s="5" t="s">
        <v>101</v>
      </c>
      <c r="D160" s="5" t="s">
        <v>50</v>
      </c>
      <c r="E160" s="5" t="s">
        <v>27</v>
      </c>
      <c r="F160" s="5" t="s">
        <v>13</v>
      </c>
      <c r="G160" s="5" t="s">
        <v>105</v>
      </c>
      <c r="H160" s="9">
        <f>CEILING(1050*USD,10)</f>
        <v>80070</v>
      </c>
      <c r="I160" s="8"/>
      <c r="J160" s="9"/>
      <c r="L160" s="12" t="s">
        <v>1762</v>
      </c>
    </row>
    <row r="161" spans="1:12" ht="20.100000000000001" customHeight="1" x14ac:dyDescent="0.3">
      <c r="A161" s="147"/>
      <c r="B161" s="22" t="s">
        <v>95</v>
      </c>
      <c r="C161" s="5" t="s">
        <v>102</v>
      </c>
      <c r="D161" s="5" t="s">
        <v>50</v>
      </c>
      <c r="E161" s="5" t="s">
        <v>27</v>
      </c>
      <c r="F161" s="5" t="s">
        <v>13</v>
      </c>
      <c r="G161" s="5" t="s">
        <v>105</v>
      </c>
      <c r="H161" s="9">
        <f>CEILING(1680*USD,10)</f>
        <v>128100</v>
      </c>
      <c r="I161" s="8"/>
      <c r="J161" s="9"/>
      <c r="L161" s="12" t="s">
        <v>1762</v>
      </c>
    </row>
    <row r="162" spans="1:12" ht="20.100000000000001" customHeight="1" x14ac:dyDescent="0.3">
      <c r="A162" s="159" t="s">
        <v>67</v>
      </c>
      <c r="B162" s="159"/>
      <c r="C162" s="159"/>
      <c r="D162" s="159"/>
      <c r="E162" s="159"/>
      <c r="F162" s="159"/>
      <c r="G162" s="159"/>
      <c r="H162" s="159"/>
      <c r="I162" s="159"/>
      <c r="J162" s="159"/>
    </row>
    <row r="163" spans="1:12" ht="20.100000000000001" customHeight="1" x14ac:dyDescent="0.3">
      <c r="A163" s="181" t="s">
        <v>1375</v>
      </c>
      <c r="B163" s="182"/>
      <c r="C163" s="182"/>
      <c r="D163" s="182"/>
      <c r="E163" s="182"/>
      <c r="F163" s="182"/>
      <c r="G163" s="183"/>
      <c r="H163" s="9">
        <v>14790</v>
      </c>
      <c r="I163" s="8"/>
      <c r="J163" s="9"/>
    </row>
    <row r="164" spans="1:12" ht="20.100000000000001" customHeight="1" x14ac:dyDescent="0.3">
      <c r="A164" s="181" t="s">
        <v>1135</v>
      </c>
      <c r="B164" s="182"/>
      <c r="C164" s="182"/>
      <c r="D164" s="182"/>
      <c r="E164" s="182"/>
      <c r="F164" s="182"/>
      <c r="G164" s="183"/>
      <c r="H164" s="9">
        <v>1785</v>
      </c>
      <c r="I164" s="8"/>
      <c r="J164" s="9"/>
    </row>
    <row r="165" spans="1:12" ht="20.100000000000001" customHeight="1" x14ac:dyDescent="0.3">
      <c r="A165" s="181" t="s">
        <v>945</v>
      </c>
      <c r="B165" s="182"/>
      <c r="C165" s="182"/>
      <c r="D165" s="182"/>
      <c r="E165" s="182"/>
      <c r="F165" s="182"/>
      <c r="G165" s="183"/>
      <c r="H165" s="9">
        <v>1630</v>
      </c>
      <c r="I165" s="8"/>
      <c r="J165" s="9"/>
    </row>
    <row r="166" spans="1:12" ht="20.100000000000001" customHeight="1" x14ac:dyDescent="0.3">
      <c r="A166" s="181" t="s">
        <v>106</v>
      </c>
      <c r="B166" s="182"/>
      <c r="C166" s="182"/>
      <c r="D166" s="182"/>
      <c r="E166" s="182"/>
      <c r="F166" s="182"/>
      <c r="G166" s="183"/>
      <c r="H166" s="9">
        <f>CEILING(695*USD,10)</f>
        <v>53000</v>
      </c>
      <c r="I166" s="8"/>
      <c r="J166" s="9"/>
    </row>
    <row r="167" spans="1:12" ht="20.100000000000001" customHeight="1" x14ac:dyDescent="0.3">
      <c r="A167" s="181" t="s">
        <v>107</v>
      </c>
      <c r="B167" s="182"/>
      <c r="C167" s="182"/>
      <c r="D167" s="182"/>
      <c r="E167" s="182"/>
      <c r="F167" s="182"/>
      <c r="G167" s="183"/>
      <c r="H167" s="9">
        <f>CEILING(31*USD,10)</f>
        <v>2370</v>
      </c>
      <c r="I167" s="8"/>
      <c r="J167" s="9"/>
    </row>
    <row r="168" spans="1:12" ht="20.100000000000001" customHeight="1" x14ac:dyDescent="0.3">
      <c r="A168" s="181" t="s">
        <v>108</v>
      </c>
      <c r="B168" s="182"/>
      <c r="C168" s="182"/>
      <c r="D168" s="182"/>
      <c r="E168" s="182"/>
      <c r="F168" s="182"/>
      <c r="G168" s="183"/>
      <c r="H168" s="9">
        <f>CEILING(31*USD,10)</f>
        <v>2370</v>
      </c>
      <c r="I168" s="8"/>
      <c r="J168" s="9"/>
    </row>
    <row r="169" spans="1:12" ht="20.100000000000001" customHeight="1" x14ac:dyDescent="0.3">
      <c r="A169" s="181" t="s">
        <v>109</v>
      </c>
      <c r="B169" s="182"/>
      <c r="C169" s="182"/>
      <c r="D169" s="182"/>
      <c r="E169" s="182"/>
      <c r="F169" s="182"/>
      <c r="G169" s="183"/>
      <c r="H169" s="9">
        <f>CEILING(122*USD,10)</f>
        <v>9310</v>
      </c>
      <c r="I169" s="8"/>
      <c r="J169" s="9"/>
    </row>
    <row r="170" spans="1:12" ht="20.100000000000001" customHeight="1" x14ac:dyDescent="0.3">
      <c r="A170" s="181" t="s">
        <v>110</v>
      </c>
      <c r="B170" s="182"/>
      <c r="C170" s="182"/>
      <c r="D170" s="182"/>
      <c r="E170" s="182"/>
      <c r="F170" s="182"/>
      <c r="G170" s="183"/>
      <c r="H170" s="9">
        <f>CEILING(122*USD,10)</f>
        <v>9310</v>
      </c>
      <c r="I170" s="8"/>
      <c r="J170" s="9"/>
    </row>
    <row r="171" spans="1:12" ht="20.100000000000001" customHeight="1" x14ac:dyDescent="0.3">
      <c r="A171" s="181" t="s">
        <v>1136</v>
      </c>
      <c r="B171" s="182"/>
      <c r="C171" s="182"/>
      <c r="D171" s="182"/>
      <c r="E171" s="182"/>
      <c r="F171" s="182"/>
      <c r="G171" s="183"/>
      <c r="H171" s="9">
        <f>CEILING(670*USD,10)</f>
        <v>51090</v>
      </c>
      <c r="I171" s="8"/>
      <c r="J171" s="9"/>
    </row>
    <row r="172" spans="1:12" ht="20.100000000000001" customHeight="1" x14ac:dyDescent="0.3">
      <c r="A172" s="181" t="s">
        <v>1587</v>
      </c>
      <c r="B172" s="182"/>
      <c r="C172" s="182"/>
      <c r="D172" s="182"/>
      <c r="E172" s="182"/>
      <c r="F172" s="182"/>
      <c r="G172" s="183"/>
      <c r="H172" s="9">
        <v>18900</v>
      </c>
      <c r="I172" s="8"/>
      <c r="J172" s="9"/>
    </row>
    <row r="173" spans="1:12" ht="20.100000000000001" customHeight="1" x14ac:dyDescent="0.3">
      <c r="A173" s="181" t="s">
        <v>111</v>
      </c>
      <c r="B173" s="182"/>
      <c r="C173" s="182"/>
      <c r="D173" s="182"/>
      <c r="E173" s="182"/>
      <c r="F173" s="182"/>
      <c r="G173" s="183"/>
      <c r="H173" s="9">
        <f>CEILING(367*USD,10)</f>
        <v>27990</v>
      </c>
      <c r="I173" s="8"/>
      <c r="J173" s="9"/>
    </row>
    <row r="174" spans="1:12" ht="20.100000000000001" customHeight="1" x14ac:dyDescent="0.3">
      <c r="A174" s="181" t="s">
        <v>74</v>
      </c>
      <c r="B174" s="182"/>
      <c r="C174" s="182"/>
      <c r="D174" s="182"/>
      <c r="E174" s="182"/>
      <c r="F174" s="182"/>
      <c r="G174" s="183"/>
      <c r="H174" s="9">
        <f>CEILING(455*USD,10)</f>
        <v>34700</v>
      </c>
      <c r="I174" s="8"/>
      <c r="J174" s="9"/>
    </row>
    <row r="175" spans="1:12" ht="20.100000000000001" customHeight="1" x14ac:dyDescent="0.3">
      <c r="A175" s="185"/>
      <c r="B175" s="185"/>
      <c r="C175" s="185"/>
      <c r="D175" s="185"/>
      <c r="E175" s="185"/>
      <c r="F175" s="185"/>
      <c r="G175" s="185"/>
      <c r="H175" s="185"/>
      <c r="I175" s="185"/>
      <c r="J175" s="185"/>
    </row>
    <row r="176" spans="1:12" ht="39.9" customHeight="1" x14ac:dyDescent="0.3">
      <c r="A176" s="139" t="s">
        <v>1367</v>
      </c>
      <c r="B176" s="140"/>
      <c r="C176" s="140"/>
      <c r="D176" s="140"/>
      <c r="E176" s="140"/>
      <c r="F176" s="140"/>
      <c r="G176" s="140"/>
      <c r="H176" s="140"/>
      <c r="I176" s="140"/>
      <c r="J176" s="140"/>
    </row>
    <row r="177" spans="1:13" ht="30" customHeight="1" x14ac:dyDescent="0.3">
      <c r="A177" s="57"/>
      <c r="B177" s="38" t="s">
        <v>2</v>
      </c>
      <c r="C177" s="4" t="s">
        <v>42</v>
      </c>
      <c r="D177" s="4" t="s">
        <v>43</v>
      </c>
      <c r="E177" s="38" t="s">
        <v>9</v>
      </c>
      <c r="F177" s="38" t="s">
        <v>10</v>
      </c>
      <c r="G177" s="4" t="s">
        <v>11</v>
      </c>
      <c r="H177" s="4" t="s">
        <v>17</v>
      </c>
      <c r="I177" s="4"/>
      <c r="J177" s="4"/>
    </row>
    <row r="178" spans="1:13" ht="24.9" customHeight="1" x14ac:dyDescent="0.3">
      <c r="A178" s="147"/>
      <c r="B178" s="6" t="s">
        <v>1039</v>
      </c>
      <c r="C178" s="21" t="s">
        <v>52</v>
      </c>
      <c r="D178" s="21" t="s">
        <v>48</v>
      </c>
      <c r="E178" s="57" t="s">
        <v>27</v>
      </c>
      <c r="F178" s="57" t="s">
        <v>13</v>
      </c>
      <c r="G178" s="57" t="s">
        <v>128</v>
      </c>
      <c r="H178" s="9">
        <f>CEILING(658*USD,10)</f>
        <v>50180</v>
      </c>
      <c r="I178" s="8"/>
      <c r="J178" s="9"/>
      <c r="L178" s="12" t="s">
        <v>1806</v>
      </c>
    </row>
    <row r="179" spans="1:13" ht="24.9" customHeight="1" x14ac:dyDescent="0.3">
      <c r="A179" s="147"/>
      <c r="B179" s="6" t="s">
        <v>1040</v>
      </c>
      <c r="C179" s="21" t="s">
        <v>52</v>
      </c>
      <c r="D179" s="21" t="s">
        <v>48</v>
      </c>
      <c r="E179" s="57" t="s">
        <v>27</v>
      </c>
      <c r="F179" s="57" t="s">
        <v>15</v>
      </c>
      <c r="G179" s="57" t="s">
        <v>128</v>
      </c>
      <c r="H179" s="9">
        <f>CEILING(785*USD,10)</f>
        <v>59860</v>
      </c>
      <c r="I179" s="8"/>
      <c r="J179" s="9"/>
      <c r="L179" s="12" t="s">
        <v>1806</v>
      </c>
    </row>
    <row r="180" spans="1:13" ht="24.9" customHeight="1" x14ac:dyDescent="0.3">
      <c r="A180" s="147"/>
      <c r="B180" s="6" t="s">
        <v>1041</v>
      </c>
      <c r="C180" s="21" t="s">
        <v>96</v>
      </c>
      <c r="D180" s="21" t="s">
        <v>48</v>
      </c>
      <c r="E180" s="57" t="s">
        <v>27</v>
      </c>
      <c r="F180" s="57" t="s">
        <v>13</v>
      </c>
      <c r="G180" s="57" t="s">
        <v>128</v>
      </c>
      <c r="H180" s="9">
        <f>CEILING(870*USD,10)</f>
        <v>66340</v>
      </c>
      <c r="I180" s="8"/>
      <c r="J180" s="9"/>
      <c r="L180" s="12" t="s">
        <v>1806</v>
      </c>
    </row>
    <row r="181" spans="1:13" ht="24.9" customHeight="1" x14ac:dyDescent="0.3">
      <c r="A181" s="147"/>
      <c r="B181" s="6" t="s">
        <v>1042</v>
      </c>
      <c r="C181" s="21" t="s">
        <v>96</v>
      </c>
      <c r="D181" s="21" t="s">
        <v>48</v>
      </c>
      <c r="E181" s="57" t="s">
        <v>27</v>
      </c>
      <c r="F181" s="57" t="s">
        <v>15</v>
      </c>
      <c r="G181" s="57" t="s">
        <v>128</v>
      </c>
      <c r="H181" s="9">
        <f>CEILING(950*USD,10)</f>
        <v>72440</v>
      </c>
      <c r="I181" s="8"/>
      <c r="J181" s="9"/>
      <c r="L181" s="12" t="s">
        <v>1806</v>
      </c>
    </row>
    <row r="182" spans="1:13" ht="24.9" customHeight="1" x14ac:dyDescent="0.3">
      <c r="A182" s="147"/>
      <c r="B182" s="6" t="s">
        <v>1043</v>
      </c>
      <c r="C182" s="21" t="s">
        <v>57</v>
      </c>
      <c r="D182" s="21" t="s">
        <v>49</v>
      </c>
      <c r="E182" s="57" t="s">
        <v>27</v>
      </c>
      <c r="F182" s="57" t="s">
        <v>13</v>
      </c>
      <c r="G182" s="57" t="s">
        <v>142</v>
      </c>
      <c r="H182" s="9">
        <f>CEILING(625*USD,10)</f>
        <v>47660</v>
      </c>
      <c r="I182" s="8"/>
      <c r="J182" s="9"/>
      <c r="L182" s="12" t="s">
        <v>1721</v>
      </c>
    </row>
    <row r="183" spans="1:13" ht="24.9" customHeight="1" x14ac:dyDescent="0.3">
      <c r="A183" s="147"/>
      <c r="B183" s="6" t="s">
        <v>1044</v>
      </c>
      <c r="C183" s="21" t="s">
        <v>57</v>
      </c>
      <c r="D183" s="21" t="s">
        <v>49</v>
      </c>
      <c r="E183" s="57" t="s">
        <v>27</v>
      </c>
      <c r="F183" s="57" t="s">
        <v>15</v>
      </c>
      <c r="G183" s="57" t="s">
        <v>142</v>
      </c>
      <c r="H183" s="9">
        <f>CEILING(672*USD,10)</f>
        <v>51240</v>
      </c>
      <c r="I183" s="8"/>
      <c r="J183" s="9"/>
      <c r="L183" s="12" t="s">
        <v>1721</v>
      </c>
    </row>
    <row r="184" spans="1:13" ht="24.9" customHeight="1" x14ac:dyDescent="0.3">
      <c r="A184" s="147"/>
      <c r="B184" s="6" t="s">
        <v>1045</v>
      </c>
      <c r="C184" s="21" t="s">
        <v>98</v>
      </c>
      <c r="D184" s="21" t="s">
        <v>49</v>
      </c>
      <c r="E184" s="57" t="s">
        <v>27</v>
      </c>
      <c r="F184" s="57" t="s">
        <v>13</v>
      </c>
      <c r="G184" s="57" t="s">
        <v>142</v>
      </c>
      <c r="H184" s="9">
        <f>CEILING(658*USD,10)</f>
        <v>50180</v>
      </c>
      <c r="I184" s="8"/>
      <c r="J184" s="9"/>
      <c r="L184" s="12" t="s">
        <v>1721</v>
      </c>
    </row>
    <row r="185" spans="1:13" ht="24.9" customHeight="1" x14ac:dyDescent="0.3">
      <c r="A185" s="147"/>
      <c r="B185" s="6" t="s">
        <v>1046</v>
      </c>
      <c r="C185" s="21" t="s">
        <v>98</v>
      </c>
      <c r="D185" s="21" t="s">
        <v>49</v>
      </c>
      <c r="E185" s="57" t="s">
        <v>27</v>
      </c>
      <c r="F185" s="57" t="s">
        <v>15</v>
      </c>
      <c r="G185" s="57" t="s">
        <v>142</v>
      </c>
      <c r="H185" s="9">
        <f>CEILING(785*USD,10)</f>
        <v>59860</v>
      </c>
      <c r="I185" s="8"/>
      <c r="J185" s="9"/>
      <c r="L185" s="12" t="s">
        <v>1721</v>
      </c>
      <c r="M185" s="12">
        <v>4.63</v>
      </c>
    </row>
    <row r="186" spans="1:13" ht="24.9" customHeight="1" x14ac:dyDescent="0.3">
      <c r="A186" s="147"/>
      <c r="B186" s="6" t="s">
        <v>1047</v>
      </c>
      <c r="C186" s="21" t="s">
        <v>102</v>
      </c>
      <c r="D186" s="21" t="s">
        <v>50</v>
      </c>
      <c r="E186" s="57" t="s">
        <v>27</v>
      </c>
      <c r="F186" s="57" t="s">
        <v>13</v>
      </c>
      <c r="G186" s="57" t="s">
        <v>142</v>
      </c>
      <c r="H186" s="9">
        <f>CEILING(750*USD,10)</f>
        <v>57190</v>
      </c>
      <c r="I186" s="8"/>
      <c r="J186" s="9"/>
      <c r="L186" s="12" t="s">
        <v>1721</v>
      </c>
    </row>
    <row r="187" spans="1:13" ht="24.9" customHeight="1" x14ac:dyDescent="0.3">
      <c r="A187" s="147"/>
      <c r="B187" s="6" t="s">
        <v>1048</v>
      </c>
      <c r="C187" s="21" t="s">
        <v>102</v>
      </c>
      <c r="D187" s="21" t="s">
        <v>50</v>
      </c>
      <c r="E187" s="57" t="s">
        <v>27</v>
      </c>
      <c r="F187" s="57" t="s">
        <v>15</v>
      </c>
      <c r="G187" s="57" t="s">
        <v>142</v>
      </c>
      <c r="H187" s="9">
        <f>CEILING(895*USD,10)</f>
        <v>68250</v>
      </c>
      <c r="I187" s="8"/>
      <c r="J187" s="9"/>
      <c r="L187" s="12" t="s">
        <v>1721</v>
      </c>
    </row>
    <row r="188" spans="1:13" ht="20.100000000000001" customHeight="1" x14ac:dyDescent="0.3">
      <c r="A188" s="159" t="s">
        <v>67</v>
      </c>
      <c r="B188" s="159"/>
      <c r="C188" s="159"/>
      <c r="D188" s="159"/>
      <c r="E188" s="159"/>
      <c r="F188" s="159"/>
      <c r="G188" s="159"/>
      <c r="H188" s="159"/>
      <c r="I188" s="159"/>
      <c r="J188" s="159"/>
    </row>
    <row r="189" spans="1:13" ht="20.100000000000001" customHeight="1" x14ac:dyDescent="0.3">
      <c r="A189" s="181" t="s">
        <v>1375</v>
      </c>
      <c r="B189" s="182"/>
      <c r="C189" s="182"/>
      <c r="D189" s="182"/>
      <c r="E189" s="182"/>
      <c r="F189" s="182"/>
      <c r="G189" s="183"/>
      <c r="H189" s="9">
        <v>14790</v>
      </c>
      <c r="I189" s="8"/>
      <c r="J189" s="9"/>
    </row>
    <row r="190" spans="1:13" ht="20.100000000000001" customHeight="1" x14ac:dyDescent="0.3">
      <c r="A190" s="181" t="s">
        <v>1135</v>
      </c>
      <c r="B190" s="182"/>
      <c r="C190" s="182"/>
      <c r="D190" s="182"/>
      <c r="E190" s="182"/>
      <c r="F190" s="182"/>
      <c r="G190" s="183"/>
      <c r="H190" s="9">
        <v>1220</v>
      </c>
      <c r="I190" s="8"/>
      <c r="J190" s="9"/>
    </row>
    <row r="191" spans="1:13" ht="20.100000000000001" customHeight="1" x14ac:dyDescent="0.3">
      <c r="A191" s="181" t="s">
        <v>945</v>
      </c>
      <c r="B191" s="182"/>
      <c r="C191" s="182"/>
      <c r="D191" s="182"/>
      <c r="E191" s="182"/>
      <c r="F191" s="182"/>
      <c r="G191" s="183"/>
      <c r="H191" s="9">
        <v>1630</v>
      </c>
      <c r="I191" s="8"/>
      <c r="J191" s="9"/>
    </row>
    <row r="192" spans="1:13" ht="20.100000000000001" customHeight="1" x14ac:dyDescent="0.3">
      <c r="A192" s="181" t="s">
        <v>1137</v>
      </c>
      <c r="B192" s="182"/>
      <c r="C192" s="182"/>
      <c r="D192" s="182"/>
      <c r="E192" s="182"/>
      <c r="F192" s="182"/>
      <c r="G192" s="183"/>
      <c r="H192" s="9">
        <f>CEILING(92*USD,10)</f>
        <v>7020</v>
      </c>
      <c r="I192" s="8"/>
      <c r="J192" s="9"/>
    </row>
    <row r="193" spans="1:12" ht="20.100000000000001" customHeight="1" x14ac:dyDescent="0.3">
      <c r="A193" s="181" t="s">
        <v>1136</v>
      </c>
      <c r="B193" s="182"/>
      <c r="C193" s="182"/>
      <c r="D193" s="182"/>
      <c r="E193" s="182"/>
      <c r="F193" s="182"/>
      <c r="G193" s="183"/>
      <c r="H193" s="9">
        <f>CEILING(670*USD,10)</f>
        <v>51090</v>
      </c>
      <c r="I193" s="8"/>
      <c r="J193" s="9"/>
    </row>
    <row r="194" spans="1:12" ht="20.100000000000001" customHeight="1" x14ac:dyDescent="0.3">
      <c r="A194" s="181" t="s">
        <v>111</v>
      </c>
      <c r="B194" s="182"/>
      <c r="C194" s="182"/>
      <c r="D194" s="182"/>
      <c r="E194" s="182"/>
      <c r="F194" s="182"/>
      <c r="G194" s="183"/>
      <c r="H194" s="9">
        <f>CEILING(367*USD,10)</f>
        <v>27990</v>
      </c>
      <c r="I194" s="8"/>
      <c r="J194" s="9"/>
    </row>
    <row r="195" spans="1:12" ht="20.100000000000001" customHeight="1" x14ac:dyDescent="0.3">
      <c r="A195" s="181" t="s">
        <v>74</v>
      </c>
      <c r="B195" s="182"/>
      <c r="C195" s="182"/>
      <c r="D195" s="182"/>
      <c r="E195" s="182"/>
      <c r="F195" s="182"/>
      <c r="G195" s="183"/>
      <c r="H195" s="9">
        <f>CEILING(455*USD,10)</f>
        <v>34700</v>
      </c>
      <c r="I195" s="8"/>
      <c r="J195" s="9"/>
    </row>
    <row r="196" spans="1:12" ht="20.100000000000001" customHeight="1" x14ac:dyDescent="0.3">
      <c r="A196" s="149"/>
      <c r="B196" s="149"/>
      <c r="C196" s="149"/>
      <c r="D196" s="149"/>
      <c r="E196" s="149"/>
      <c r="F196" s="149"/>
      <c r="G196" s="149"/>
      <c r="H196" s="149"/>
      <c r="I196" s="149"/>
      <c r="J196" s="149"/>
    </row>
    <row r="197" spans="1:12" ht="39.9" customHeight="1" x14ac:dyDescent="0.3">
      <c r="A197" s="139" t="s">
        <v>1857</v>
      </c>
      <c r="B197" s="140"/>
      <c r="C197" s="140"/>
      <c r="D197" s="140"/>
      <c r="E197" s="140"/>
      <c r="F197" s="140"/>
      <c r="G197" s="140"/>
      <c r="H197" s="140"/>
      <c r="I197" s="140"/>
      <c r="J197" s="140"/>
    </row>
    <row r="198" spans="1:12" ht="30" customHeight="1" x14ac:dyDescent="0.3">
      <c r="A198" s="134"/>
      <c r="B198" s="38" t="s">
        <v>2</v>
      </c>
      <c r="C198" s="4" t="s">
        <v>42</v>
      </c>
      <c r="D198" s="4" t="s">
        <v>43</v>
      </c>
      <c r="E198" s="38" t="s">
        <v>9</v>
      </c>
      <c r="F198" s="38" t="s">
        <v>10</v>
      </c>
      <c r="G198" s="4" t="s">
        <v>11</v>
      </c>
      <c r="H198" s="4" t="s">
        <v>17</v>
      </c>
      <c r="I198" s="4"/>
      <c r="J198" s="4"/>
    </row>
    <row r="199" spans="1:12" ht="30" customHeight="1" x14ac:dyDescent="0.3">
      <c r="A199" s="147"/>
      <c r="B199" s="84" t="s">
        <v>119</v>
      </c>
      <c r="C199" s="135" t="s">
        <v>46</v>
      </c>
      <c r="D199" s="135" t="s">
        <v>49</v>
      </c>
      <c r="E199" s="66" t="s">
        <v>27</v>
      </c>
      <c r="F199" s="66" t="s">
        <v>13</v>
      </c>
      <c r="G199" s="66" t="s">
        <v>128</v>
      </c>
      <c r="H199" s="69" t="s">
        <v>187</v>
      </c>
      <c r="I199" s="68"/>
      <c r="J199" s="69"/>
      <c r="L199" s="12" t="s">
        <v>1762</v>
      </c>
    </row>
    <row r="200" spans="1:12" ht="30" customHeight="1" x14ac:dyDescent="0.3">
      <c r="A200" s="147"/>
      <c r="B200" s="84" t="s">
        <v>120</v>
      </c>
      <c r="C200" s="135" t="s">
        <v>53</v>
      </c>
      <c r="D200" s="135" t="s">
        <v>49</v>
      </c>
      <c r="E200" s="66" t="s">
        <v>27</v>
      </c>
      <c r="F200" s="66" t="s">
        <v>13</v>
      </c>
      <c r="G200" s="66" t="s">
        <v>128</v>
      </c>
      <c r="H200" s="69" t="s">
        <v>187</v>
      </c>
      <c r="I200" s="68"/>
      <c r="J200" s="69"/>
      <c r="L200" s="12" t="s">
        <v>1762</v>
      </c>
    </row>
    <row r="201" spans="1:12" ht="30" customHeight="1" x14ac:dyDescent="0.3">
      <c r="A201" s="147"/>
      <c r="B201" s="84" t="s">
        <v>121</v>
      </c>
      <c r="C201" s="135" t="s">
        <v>96</v>
      </c>
      <c r="D201" s="135" t="s">
        <v>49</v>
      </c>
      <c r="E201" s="66" t="s">
        <v>27</v>
      </c>
      <c r="F201" s="66" t="s">
        <v>13</v>
      </c>
      <c r="G201" s="66" t="s">
        <v>128</v>
      </c>
      <c r="H201" s="69" t="s">
        <v>187</v>
      </c>
      <c r="I201" s="68"/>
      <c r="J201" s="69"/>
      <c r="L201" s="12" t="s">
        <v>1762</v>
      </c>
    </row>
    <row r="202" spans="1:12" ht="30" customHeight="1" x14ac:dyDescent="0.3">
      <c r="A202" s="147"/>
      <c r="B202" s="20" t="s">
        <v>122</v>
      </c>
      <c r="C202" s="136" t="s">
        <v>57</v>
      </c>
      <c r="D202" s="136" t="s">
        <v>50</v>
      </c>
      <c r="E202" s="134" t="s">
        <v>27</v>
      </c>
      <c r="F202" s="134" t="s">
        <v>13</v>
      </c>
      <c r="G202" s="134" t="s">
        <v>129</v>
      </c>
      <c r="H202" s="9">
        <f>CEILING(692*USD,10)</f>
        <v>52770</v>
      </c>
      <c r="I202" s="8"/>
      <c r="J202" s="9"/>
      <c r="L202" s="12" t="s">
        <v>1762</v>
      </c>
    </row>
    <row r="203" spans="1:12" ht="30" customHeight="1" x14ac:dyDescent="0.3">
      <c r="A203" s="147"/>
      <c r="B203" s="84" t="s">
        <v>123</v>
      </c>
      <c r="C203" s="135" t="s">
        <v>58</v>
      </c>
      <c r="D203" s="135" t="s">
        <v>50</v>
      </c>
      <c r="E203" s="66" t="s">
        <v>27</v>
      </c>
      <c r="F203" s="66" t="s">
        <v>13</v>
      </c>
      <c r="G203" s="66" t="s">
        <v>105</v>
      </c>
      <c r="H203" s="69" t="s">
        <v>187</v>
      </c>
      <c r="I203" s="68"/>
      <c r="J203" s="69"/>
      <c r="L203" s="12" t="s">
        <v>1762</v>
      </c>
    </row>
    <row r="204" spans="1:12" ht="30" customHeight="1" x14ac:dyDescent="0.3">
      <c r="A204" s="147"/>
      <c r="B204" s="84" t="s">
        <v>124</v>
      </c>
      <c r="C204" s="135" t="s">
        <v>99</v>
      </c>
      <c r="D204" s="135" t="s">
        <v>50</v>
      </c>
      <c r="E204" s="66" t="s">
        <v>27</v>
      </c>
      <c r="F204" s="66" t="s">
        <v>13</v>
      </c>
      <c r="G204" s="66" t="s">
        <v>105</v>
      </c>
      <c r="H204" s="69" t="s">
        <v>187</v>
      </c>
      <c r="I204" s="68"/>
      <c r="J204" s="69"/>
      <c r="L204" s="12" t="s">
        <v>1762</v>
      </c>
    </row>
    <row r="205" spans="1:12" ht="30" customHeight="1" x14ac:dyDescent="0.3">
      <c r="A205" s="147"/>
      <c r="B205" s="20" t="s">
        <v>125</v>
      </c>
      <c r="C205" s="136" t="s">
        <v>100</v>
      </c>
      <c r="D205" s="136" t="s">
        <v>50</v>
      </c>
      <c r="E205" s="134" t="s">
        <v>27</v>
      </c>
      <c r="F205" s="134" t="s">
        <v>13</v>
      </c>
      <c r="G205" s="134" t="s">
        <v>105</v>
      </c>
      <c r="H205" s="9">
        <f>CEILING(775*USD,10)</f>
        <v>59100</v>
      </c>
      <c r="I205" s="8"/>
      <c r="J205" s="9"/>
      <c r="L205" s="12" t="s">
        <v>1762</v>
      </c>
    </row>
    <row r="206" spans="1:12" ht="30" customHeight="1" x14ac:dyDescent="0.3">
      <c r="A206" s="147"/>
      <c r="B206" s="84" t="s">
        <v>126</v>
      </c>
      <c r="C206" s="135" t="s">
        <v>102</v>
      </c>
      <c r="D206" s="135" t="s">
        <v>51</v>
      </c>
      <c r="E206" s="66" t="s">
        <v>27</v>
      </c>
      <c r="F206" s="66" t="s">
        <v>13</v>
      </c>
      <c r="G206" s="66" t="s">
        <v>105</v>
      </c>
      <c r="H206" s="69" t="s">
        <v>187</v>
      </c>
      <c r="I206" s="68"/>
      <c r="J206" s="69"/>
      <c r="L206" s="12" t="s">
        <v>1762</v>
      </c>
    </row>
    <row r="207" spans="1:12" ht="20.100000000000001" customHeight="1" x14ac:dyDescent="0.3">
      <c r="A207" s="159" t="s">
        <v>67</v>
      </c>
      <c r="B207" s="159"/>
      <c r="C207" s="159"/>
      <c r="D207" s="159"/>
      <c r="E207" s="159"/>
      <c r="F207" s="159"/>
      <c r="G207" s="159"/>
      <c r="H207" s="159"/>
      <c r="I207" s="159"/>
      <c r="J207" s="159"/>
    </row>
    <row r="208" spans="1:12" ht="20.100000000000001" customHeight="1" x14ac:dyDescent="0.3">
      <c r="A208" s="181" t="s">
        <v>1135</v>
      </c>
      <c r="B208" s="182"/>
      <c r="C208" s="182"/>
      <c r="D208" s="182"/>
      <c r="E208" s="182"/>
      <c r="F208" s="182"/>
      <c r="G208" s="183"/>
      <c r="H208" s="9">
        <v>1220</v>
      </c>
      <c r="I208" s="8"/>
      <c r="J208" s="9"/>
    </row>
    <row r="209" spans="1:10" ht="20.100000000000001" customHeight="1" x14ac:dyDescent="0.3">
      <c r="A209" s="181" t="s">
        <v>945</v>
      </c>
      <c r="B209" s="182"/>
      <c r="C209" s="182"/>
      <c r="D209" s="182"/>
      <c r="E209" s="182"/>
      <c r="F209" s="182"/>
      <c r="G209" s="183"/>
      <c r="H209" s="9">
        <v>1630</v>
      </c>
      <c r="I209" s="8"/>
      <c r="J209" s="9"/>
    </row>
    <row r="210" spans="1:10" ht="20.100000000000001" customHeight="1" x14ac:dyDescent="0.3">
      <c r="A210" s="181" t="s">
        <v>107</v>
      </c>
      <c r="B210" s="182"/>
      <c r="C210" s="182"/>
      <c r="D210" s="182"/>
      <c r="E210" s="182"/>
      <c r="F210" s="182"/>
      <c r="G210" s="183"/>
      <c r="H210" s="9">
        <f>CEILING(31*USD,10)</f>
        <v>2370</v>
      </c>
      <c r="I210" s="8"/>
      <c r="J210" s="9"/>
    </row>
    <row r="211" spans="1:10" ht="20.100000000000001" customHeight="1" x14ac:dyDescent="0.3">
      <c r="A211" s="181" t="s">
        <v>108</v>
      </c>
      <c r="B211" s="182"/>
      <c r="C211" s="182"/>
      <c r="D211" s="182"/>
      <c r="E211" s="182"/>
      <c r="F211" s="182"/>
      <c r="G211" s="183"/>
      <c r="H211" s="9">
        <f>CEILING(31*USD,10)</f>
        <v>2370</v>
      </c>
      <c r="I211" s="8"/>
      <c r="J211" s="9"/>
    </row>
    <row r="212" spans="1:10" ht="20.100000000000001" customHeight="1" x14ac:dyDescent="0.3">
      <c r="A212" s="181" t="s">
        <v>130</v>
      </c>
      <c r="B212" s="182"/>
      <c r="C212" s="182"/>
      <c r="D212" s="182"/>
      <c r="E212" s="182"/>
      <c r="F212" s="182"/>
      <c r="G212" s="183"/>
      <c r="H212" s="9">
        <f>CEILING(122*USD,10)</f>
        <v>9310</v>
      </c>
      <c r="I212" s="8"/>
      <c r="J212" s="9"/>
    </row>
    <row r="213" spans="1:10" ht="20.100000000000001" customHeight="1" x14ac:dyDescent="0.3">
      <c r="A213" s="181" t="s">
        <v>110</v>
      </c>
      <c r="B213" s="182"/>
      <c r="C213" s="182"/>
      <c r="D213" s="182"/>
      <c r="E213" s="182"/>
      <c r="F213" s="182"/>
      <c r="G213" s="183"/>
      <c r="H213" s="9">
        <f>CEILING(122*USD,10)</f>
        <v>9310</v>
      </c>
      <c r="I213" s="8"/>
      <c r="J213" s="9"/>
    </row>
    <row r="214" spans="1:10" ht="20.100000000000001" customHeight="1" x14ac:dyDescent="0.3">
      <c r="A214" s="181" t="s">
        <v>131</v>
      </c>
      <c r="B214" s="182"/>
      <c r="C214" s="182"/>
      <c r="D214" s="182"/>
      <c r="E214" s="182"/>
      <c r="F214" s="182"/>
      <c r="G214" s="183"/>
      <c r="H214" s="9">
        <f>CEILING(215*USD,10)</f>
        <v>16400</v>
      </c>
      <c r="I214" s="8"/>
      <c r="J214" s="9"/>
    </row>
    <row r="215" spans="1:10" ht="20.100000000000001" customHeight="1" x14ac:dyDescent="0.3">
      <c r="A215" s="181" t="s">
        <v>132</v>
      </c>
      <c r="B215" s="182"/>
      <c r="C215" s="182"/>
      <c r="D215" s="182"/>
      <c r="E215" s="182"/>
      <c r="F215" s="182"/>
      <c r="G215" s="183"/>
      <c r="H215" s="9">
        <f>CEILING(150*USD,10)</f>
        <v>11440</v>
      </c>
      <c r="I215" s="8"/>
      <c r="J215" s="9"/>
    </row>
    <row r="216" spans="1:10" ht="20.100000000000001" customHeight="1" x14ac:dyDescent="0.3">
      <c r="A216" s="149"/>
      <c r="B216" s="149"/>
      <c r="C216" s="149"/>
      <c r="D216" s="149"/>
      <c r="E216" s="149"/>
      <c r="F216" s="149"/>
      <c r="G216" s="149"/>
      <c r="H216" s="149"/>
      <c r="I216" s="149"/>
      <c r="J216" s="149"/>
    </row>
    <row r="217" spans="1:10" ht="39.9" customHeight="1" x14ac:dyDescent="0.3">
      <c r="A217" s="139" t="s">
        <v>1368</v>
      </c>
      <c r="B217" s="140"/>
      <c r="C217" s="140"/>
      <c r="D217" s="140"/>
      <c r="E217" s="140"/>
      <c r="F217" s="140"/>
      <c r="G217" s="140"/>
      <c r="H217" s="140"/>
      <c r="I217" s="140"/>
      <c r="J217" s="140"/>
    </row>
    <row r="218" spans="1:10" ht="30" customHeight="1" x14ac:dyDescent="0.3">
      <c r="A218" s="5"/>
      <c r="B218" s="3" t="s">
        <v>2</v>
      </c>
      <c r="C218" s="4" t="s">
        <v>42</v>
      </c>
      <c r="D218" s="4" t="s">
        <v>43</v>
      </c>
      <c r="E218" s="3" t="s">
        <v>9</v>
      </c>
      <c r="F218" s="3" t="s">
        <v>10</v>
      </c>
      <c r="G218" s="4" t="s">
        <v>11</v>
      </c>
      <c r="H218" s="4" t="s">
        <v>17</v>
      </c>
      <c r="I218" s="4"/>
      <c r="J218" s="4"/>
    </row>
    <row r="219" spans="1:10" ht="30" customHeight="1" x14ac:dyDescent="0.3">
      <c r="A219" s="147"/>
      <c r="B219" s="20" t="s">
        <v>133</v>
      </c>
      <c r="C219" s="21" t="s">
        <v>46</v>
      </c>
      <c r="D219" s="21" t="s">
        <v>49</v>
      </c>
      <c r="E219" s="5" t="s">
        <v>27</v>
      </c>
      <c r="F219" s="5" t="s">
        <v>13</v>
      </c>
      <c r="G219" s="5" t="s">
        <v>128</v>
      </c>
      <c r="H219" s="9">
        <f>CEILING(1070*USD,10)</f>
        <v>81590</v>
      </c>
      <c r="I219" s="8"/>
      <c r="J219" s="9"/>
    </row>
    <row r="220" spans="1:10" ht="30" customHeight="1" x14ac:dyDescent="0.3">
      <c r="A220" s="147"/>
      <c r="B220" s="20" t="s">
        <v>134</v>
      </c>
      <c r="C220" s="21" t="s">
        <v>52</v>
      </c>
      <c r="D220" s="21" t="s">
        <v>49</v>
      </c>
      <c r="E220" s="5" t="s">
        <v>27</v>
      </c>
      <c r="F220" s="5" t="s">
        <v>13</v>
      </c>
      <c r="G220" s="5" t="s">
        <v>128</v>
      </c>
      <c r="H220" s="9">
        <f>CEILING(1090*USD,10)</f>
        <v>83120</v>
      </c>
      <c r="I220" s="8"/>
      <c r="J220" s="9"/>
    </row>
    <row r="221" spans="1:10" ht="30" customHeight="1" x14ac:dyDescent="0.3">
      <c r="A221" s="147"/>
      <c r="B221" s="20" t="s">
        <v>135</v>
      </c>
      <c r="C221" s="21" t="s">
        <v>96</v>
      </c>
      <c r="D221" s="21" t="s">
        <v>49</v>
      </c>
      <c r="E221" s="5" t="s">
        <v>27</v>
      </c>
      <c r="F221" s="5" t="s">
        <v>13</v>
      </c>
      <c r="G221" s="5" t="s">
        <v>128</v>
      </c>
      <c r="H221" s="9">
        <f>CEILING(1180*USD,10)</f>
        <v>89980</v>
      </c>
      <c r="I221" s="8"/>
      <c r="J221" s="9"/>
    </row>
    <row r="222" spans="1:10" ht="30" customHeight="1" x14ac:dyDescent="0.3">
      <c r="A222" s="147"/>
      <c r="B222" s="20" t="s">
        <v>136</v>
      </c>
      <c r="C222" s="21" t="s">
        <v>97</v>
      </c>
      <c r="D222" s="21" t="s">
        <v>49</v>
      </c>
      <c r="E222" s="5" t="s">
        <v>27</v>
      </c>
      <c r="F222" s="5" t="s">
        <v>13</v>
      </c>
      <c r="G222" s="5" t="s">
        <v>128</v>
      </c>
      <c r="H222" s="9">
        <f>CEILING(1230*USD,10)</f>
        <v>93790</v>
      </c>
      <c r="I222" s="8"/>
      <c r="J222" s="9"/>
    </row>
    <row r="223" spans="1:10" ht="30" customHeight="1" x14ac:dyDescent="0.3">
      <c r="A223" s="147"/>
      <c r="B223" s="20" t="s">
        <v>137</v>
      </c>
      <c r="C223" s="21" t="s">
        <v>58</v>
      </c>
      <c r="D223" s="21" t="s">
        <v>50</v>
      </c>
      <c r="E223" s="5" t="s">
        <v>27</v>
      </c>
      <c r="F223" s="5" t="s">
        <v>13</v>
      </c>
      <c r="G223" s="5" t="s">
        <v>142</v>
      </c>
      <c r="H223" s="9">
        <f>CEILING(1090*USD,10)</f>
        <v>83120</v>
      </c>
      <c r="I223" s="8"/>
      <c r="J223" s="9"/>
    </row>
    <row r="224" spans="1:10" ht="30" customHeight="1" x14ac:dyDescent="0.3">
      <c r="A224" s="147"/>
      <c r="B224" s="20" t="s">
        <v>138</v>
      </c>
      <c r="C224" s="21" t="s">
        <v>98</v>
      </c>
      <c r="D224" s="21" t="s">
        <v>50</v>
      </c>
      <c r="E224" s="5" t="s">
        <v>27</v>
      </c>
      <c r="F224" s="5" t="s">
        <v>13</v>
      </c>
      <c r="G224" s="5" t="s">
        <v>142</v>
      </c>
      <c r="H224" s="9">
        <f>CEILING(1120*USD,10)</f>
        <v>85400</v>
      </c>
      <c r="I224" s="8"/>
      <c r="J224" s="9"/>
    </row>
    <row r="225" spans="1:10" ht="30" customHeight="1" x14ac:dyDescent="0.3">
      <c r="A225" s="147"/>
      <c r="B225" s="20" t="s">
        <v>139</v>
      </c>
      <c r="C225" s="21" t="s">
        <v>100</v>
      </c>
      <c r="D225" s="21" t="s">
        <v>50</v>
      </c>
      <c r="E225" s="5" t="s">
        <v>27</v>
      </c>
      <c r="F225" s="5" t="s">
        <v>13</v>
      </c>
      <c r="G225" s="5" t="s">
        <v>142</v>
      </c>
      <c r="H225" s="9">
        <f>CEILING(1210*USD,10)</f>
        <v>92270</v>
      </c>
      <c r="I225" s="8"/>
      <c r="J225" s="9"/>
    </row>
    <row r="226" spans="1:10" ht="30" customHeight="1" x14ac:dyDescent="0.3">
      <c r="A226" s="147"/>
      <c r="B226" s="20" t="s">
        <v>140</v>
      </c>
      <c r="C226" s="21" t="s">
        <v>101</v>
      </c>
      <c r="D226" s="21" t="s">
        <v>50</v>
      </c>
      <c r="E226" s="5" t="s">
        <v>27</v>
      </c>
      <c r="F226" s="5" t="s">
        <v>13</v>
      </c>
      <c r="G226" s="5" t="s">
        <v>142</v>
      </c>
      <c r="H226" s="9">
        <f>CEILING(1265*USD,10)</f>
        <v>96460</v>
      </c>
      <c r="I226" s="8"/>
      <c r="J226" s="9"/>
    </row>
    <row r="227" spans="1:10" ht="30" customHeight="1" x14ac:dyDescent="0.3">
      <c r="A227" s="147"/>
      <c r="B227" s="20" t="s">
        <v>141</v>
      </c>
      <c r="C227" s="21" t="s">
        <v>62</v>
      </c>
      <c r="D227" s="21" t="s">
        <v>51</v>
      </c>
      <c r="E227" s="5" t="s">
        <v>27</v>
      </c>
      <c r="F227" s="5" t="s">
        <v>13</v>
      </c>
      <c r="G227" s="5" t="s">
        <v>142</v>
      </c>
      <c r="H227" s="9">
        <f>CEILING(1090*USD,10)</f>
        <v>83120</v>
      </c>
      <c r="I227" s="8"/>
      <c r="J227" s="9"/>
    </row>
    <row r="228" spans="1:10" ht="20.100000000000001" customHeight="1" x14ac:dyDescent="0.3">
      <c r="A228" s="159" t="s">
        <v>67</v>
      </c>
      <c r="B228" s="159"/>
      <c r="C228" s="159"/>
      <c r="D228" s="159"/>
      <c r="E228" s="159"/>
      <c r="F228" s="159"/>
      <c r="G228" s="159"/>
      <c r="H228" s="159"/>
      <c r="I228" s="159"/>
      <c r="J228" s="159"/>
    </row>
    <row r="229" spans="1:10" ht="20.100000000000001" customHeight="1" x14ac:dyDescent="0.3">
      <c r="A229" s="181" t="s">
        <v>945</v>
      </c>
      <c r="B229" s="182"/>
      <c r="C229" s="182"/>
      <c r="D229" s="182"/>
      <c r="E229" s="182"/>
      <c r="F229" s="182"/>
      <c r="G229" s="183"/>
      <c r="H229" s="9">
        <v>1630</v>
      </c>
      <c r="I229" s="8"/>
      <c r="J229" s="9"/>
    </row>
    <row r="230" spans="1:10" ht="20.100000000000001" customHeight="1" x14ac:dyDescent="0.3">
      <c r="A230" s="181" t="s">
        <v>143</v>
      </c>
      <c r="B230" s="182"/>
      <c r="C230" s="182"/>
      <c r="D230" s="182"/>
      <c r="E230" s="182"/>
      <c r="F230" s="182"/>
      <c r="G230" s="183"/>
      <c r="H230" s="9">
        <f>CEILING(31*USD,10)</f>
        <v>2370</v>
      </c>
      <c r="I230" s="8"/>
      <c r="J230" s="9"/>
    </row>
    <row r="231" spans="1:10" ht="20.100000000000001" customHeight="1" x14ac:dyDescent="0.3">
      <c r="A231" s="181" t="s">
        <v>144</v>
      </c>
      <c r="B231" s="182"/>
      <c r="C231" s="182"/>
      <c r="D231" s="182"/>
      <c r="E231" s="182"/>
      <c r="F231" s="182"/>
      <c r="G231" s="183"/>
      <c r="H231" s="9">
        <f>CEILING(102*USD,10)</f>
        <v>7780</v>
      </c>
      <c r="I231" s="8"/>
      <c r="J231" s="9"/>
    </row>
    <row r="232" spans="1:10" ht="20.100000000000001" customHeight="1" x14ac:dyDescent="0.3">
      <c r="A232" s="181" t="s">
        <v>145</v>
      </c>
      <c r="B232" s="182"/>
      <c r="C232" s="182"/>
      <c r="D232" s="182"/>
      <c r="E232" s="182"/>
      <c r="F232" s="182"/>
      <c r="G232" s="183"/>
      <c r="H232" s="9">
        <f>CEILING(640*USD,10)</f>
        <v>48800</v>
      </c>
      <c r="I232" s="8"/>
      <c r="J232" s="9"/>
    </row>
    <row r="233" spans="1:10" ht="20.100000000000001" customHeight="1" x14ac:dyDescent="0.3">
      <c r="A233" s="181" t="s">
        <v>146</v>
      </c>
      <c r="B233" s="182"/>
      <c r="C233" s="182"/>
      <c r="D233" s="182"/>
      <c r="E233" s="182"/>
      <c r="F233" s="182"/>
      <c r="G233" s="183"/>
      <c r="H233" s="9">
        <f>CEILING(450*USD,10)</f>
        <v>34320</v>
      </c>
      <c r="I233" s="8"/>
      <c r="J233" s="9"/>
    </row>
    <row r="234" spans="1:10" ht="20.100000000000001" customHeight="1" x14ac:dyDescent="0.3">
      <c r="A234" s="181" t="s">
        <v>147</v>
      </c>
      <c r="B234" s="182"/>
      <c r="C234" s="182"/>
      <c r="D234" s="182"/>
      <c r="E234" s="182"/>
      <c r="F234" s="182"/>
      <c r="G234" s="183"/>
      <c r="H234" s="9">
        <f>CEILING(367*USD,10)</f>
        <v>27990</v>
      </c>
      <c r="I234" s="8"/>
      <c r="J234" s="9"/>
    </row>
    <row r="235" spans="1:10" ht="20.100000000000001" customHeight="1" x14ac:dyDescent="0.3">
      <c r="A235" s="181" t="s">
        <v>148</v>
      </c>
      <c r="B235" s="182"/>
      <c r="C235" s="182"/>
      <c r="D235" s="182"/>
      <c r="E235" s="182"/>
      <c r="F235" s="182"/>
      <c r="G235" s="183"/>
      <c r="H235" s="9">
        <f>CEILING(455*USD,10)</f>
        <v>34700</v>
      </c>
      <c r="I235" s="8"/>
      <c r="J235" s="9"/>
    </row>
    <row r="236" spans="1:10" ht="20.100000000000001" customHeight="1" x14ac:dyDescent="0.3">
      <c r="A236" s="181" t="s">
        <v>1135</v>
      </c>
      <c r="B236" s="182"/>
      <c r="C236" s="182"/>
      <c r="D236" s="182"/>
      <c r="E236" s="182"/>
      <c r="F236" s="182"/>
      <c r="G236" s="183"/>
      <c r="H236" s="9">
        <v>1220</v>
      </c>
      <c r="I236" s="8"/>
      <c r="J236" s="9"/>
    </row>
    <row r="237" spans="1:10" ht="20.100000000000001" customHeight="1" x14ac:dyDescent="0.3">
      <c r="A237" s="155" t="s">
        <v>149</v>
      </c>
      <c r="B237" s="155"/>
      <c r="C237" s="155"/>
      <c r="D237" s="155"/>
      <c r="E237" s="155"/>
      <c r="F237" s="155"/>
      <c r="G237" s="155"/>
      <c r="H237" s="9">
        <f>CEILING(340*USD,10)</f>
        <v>25930</v>
      </c>
      <c r="I237" s="8"/>
      <c r="J237" s="9"/>
    </row>
    <row r="238" spans="1:10" ht="20.100000000000001" customHeight="1" x14ac:dyDescent="0.3">
      <c r="A238" s="155" t="s">
        <v>150</v>
      </c>
      <c r="B238" s="155"/>
      <c r="C238" s="155"/>
      <c r="D238" s="155"/>
      <c r="E238" s="155"/>
      <c r="F238" s="155"/>
      <c r="G238" s="155"/>
      <c r="H238" s="9">
        <f>CEILING(420*USD,10)</f>
        <v>32030</v>
      </c>
      <c r="I238" s="8"/>
      <c r="J238" s="9"/>
    </row>
    <row r="239" spans="1:10" ht="20.100000000000001" customHeight="1" x14ac:dyDescent="0.3">
      <c r="A239" s="181" t="s">
        <v>151</v>
      </c>
      <c r="B239" s="182"/>
      <c r="C239" s="182"/>
      <c r="D239" s="182"/>
      <c r="E239" s="182"/>
      <c r="F239" s="182"/>
      <c r="G239" s="183"/>
      <c r="H239" s="9">
        <f>CEILING(510*USD,10)</f>
        <v>38890</v>
      </c>
      <c r="I239" s="8"/>
      <c r="J239" s="9"/>
    </row>
    <row r="240" spans="1:10" ht="20.100000000000001" customHeight="1" x14ac:dyDescent="0.3">
      <c r="A240" s="181" t="s">
        <v>111</v>
      </c>
      <c r="B240" s="182"/>
      <c r="C240" s="182"/>
      <c r="D240" s="182"/>
      <c r="E240" s="182"/>
      <c r="F240" s="182"/>
      <c r="G240" s="183"/>
      <c r="H240" s="9">
        <f>CEILING(367*USD,10)</f>
        <v>27990</v>
      </c>
      <c r="I240" s="8"/>
      <c r="J240" s="9"/>
    </row>
    <row r="241" spans="1:10" ht="20.100000000000001" customHeight="1" x14ac:dyDescent="0.3">
      <c r="A241" s="181" t="s">
        <v>74</v>
      </c>
      <c r="B241" s="182"/>
      <c r="C241" s="182"/>
      <c r="D241" s="182"/>
      <c r="E241" s="182"/>
      <c r="F241" s="182"/>
      <c r="G241" s="183"/>
      <c r="H241" s="9">
        <f>CEILING(455*USD,10)</f>
        <v>34700</v>
      </c>
      <c r="I241" s="8"/>
      <c r="J241" s="9"/>
    </row>
    <row r="242" spans="1:10" ht="20.100000000000001" customHeight="1" x14ac:dyDescent="0.3">
      <c r="A242" s="181" t="s">
        <v>1136</v>
      </c>
      <c r="B242" s="182"/>
      <c r="C242" s="182"/>
      <c r="D242" s="182"/>
      <c r="E242" s="182"/>
      <c r="F242" s="182"/>
      <c r="G242" s="183"/>
      <c r="H242" s="9">
        <f>CEILING(670*USD,10)</f>
        <v>51090</v>
      </c>
      <c r="I242" s="8"/>
      <c r="J242" s="9"/>
    </row>
    <row r="243" spans="1:10" ht="20.100000000000001" customHeight="1" x14ac:dyDescent="0.3">
      <c r="A243" s="149"/>
      <c r="B243" s="149"/>
      <c r="C243" s="149"/>
      <c r="D243" s="149"/>
      <c r="E243" s="149"/>
      <c r="F243" s="149"/>
      <c r="G243" s="149"/>
      <c r="H243" s="149"/>
      <c r="I243" s="149"/>
      <c r="J243" s="149"/>
    </row>
    <row r="244" spans="1:10" ht="39.9" customHeight="1" x14ac:dyDescent="0.3">
      <c r="A244" s="139" t="s">
        <v>1369</v>
      </c>
      <c r="B244" s="140"/>
      <c r="C244" s="140"/>
      <c r="D244" s="140"/>
      <c r="E244" s="140"/>
      <c r="F244" s="140"/>
      <c r="G244" s="140"/>
      <c r="H244" s="140"/>
      <c r="I244" s="140"/>
      <c r="J244" s="140"/>
    </row>
    <row r="245" spans="1:10" ht="30" customHeight="1" x14ac:dyDescent="0.3">
      <c r="A245" s="5"/>
      <c r="B245" s="3" t="s">
        <v>2</v>
      </c>
      <c r="C245" s="4" t="s">
        <v>42</v>
      </c>
      <c r="D245" s="4" t="s">
        <v>43</v>
      </c>
      <c r="E245" s="3" t="s">
        <v>9</v>
      </c>
      <c r="F245" s="3" t="s">
        <v>10</v>
      </c>
      <c r="G245" s="4" t="s">
        <v>11</v>
      </c>
      <c r="H245" s="4" t="s">
        <v>17</v>
      </c>
      <c r="I245" s="4"/>
      <c r="J245" s="4"/>
    </row>
    <row r="246" spans="1:10" ht="20.100000000000001" customHeight="1" x14ac:dyDescent="0.3">
      <c r="A246" s="147"/>
      <c r="B246" s="23" t="s">
        <v>152</v>
      </c>
      <c r="C246" s="24" t="s">
        <v>160</v>
      </c>
      <c r="D246" s="24" t="s">
        <v>50</v>
      </c>
      <c r="E246" s="5" t="s">
        <v>27</v>
      </c>
      <c r="F246" s="24" t="s">
        <v>13</v>
      </c>
      <c r="G246" s="5" t="s">
        <v>166</v>
      </c>
      <c r="H246" s="9">
        <f>CEILING(2730*USD,10)</f>
        <v>208170</v>
      </c>
      <c r="I246" s="8"/>
      <c r="J246" s="9"/>
    </row>
    <row r="247" spans="1:10" ht="20.100000000000001" customHeight="1" x14ac:dyDescent="0.3">
      <c r="A247" s="147"/>
      <c r="B247" s="20" t="s">
        <v>153</v>
      </c>
      <c r="C247" s="21" t="s">
        <v>160</v>
      </c>
      <c r="D247" s="21" t="s">
        <v>50</v>
      </c>
      <c r="E247" s="5" t="s">
        <v>27</v>
      </c>
      <c r="F247" s="21" t="s">
        <v>165</v>
      </c>
      <c r="G247" s="5" t="s">
        <v>166</v>
      </c>
      <c r="H247" s="9">
        <f>CEILING(3010*USD,10)</f>
        <v>229520</v>
      </c>
      <c r="I247" s="8"/>
      <c r="J247" s="9"/>
    </row>
    <row r="248" spans="1:10" ht="20.100000000000001" customHeight="1" x14ac:dyDescent="0.3">
      <c r="A248" s="147"/>
      <c r="B248" s="20" t="s">
        <v>154</v>
      </c>
      <c r="C248" s="21" t="s">
        <v>161</v>
      </c>
      <c r="D248" s="21" t="s">
        <v>50</v>
      </c>
      <c r="E248" s="5" t="s">
        <v>27</v>
      </c>
      <c r="F248" s="21" t="s">
        <v>13</v>
      </c>
      <c r="G248" s="5" t="s">
        <v>166</v>
      </c>
      <c r="H248" s="9">
        <f>CEILING(3010*USD,10)</f>
        <v>229520</v>
      </c>
      <c r="I248" s="8"/>
      <c r="J248" s="9"/>
    </row>
    <row r="249" spans="1:10" ht="20.100000000000001" customHeight="1" x14ac:dyDescent="0.3">
      <c r="A249" s="147"/>
      <c r="B249" s="20" t="s">
        <v>155</v>
      </c>
      <c r="C249" s="21" t="s">
        <v>161</v>
      </c>
      <c r="D249" s="21" t="s">
        <v>50</v>
      </c>
      <c r="E249" s="5" t="s">
        <v>27</v>
      </c>
      <c r="F249" s="21" t="s">
        <v>165</v>
      </c>
      <c r="G249" s="5" t="s">
        <v>166</v>
      </c>
      <c r="H249" s="9">
        <f>CEILING(3300*USD,10)</f>
        <v>251630</v>
      </c>
      <c r="I249" s="8"/>
      <c r="J249" s="9"/>
    </row>
    <row r="250" spans="1:10" ht="20.100000000000001" customHeight="1" x14ac:dyDescent="0.3">
      <c r="A250" s="147"/>
      <c r="B250" s="20" t="s">
        <v>156</v>
      </c>
      <c r="C250" s="21" t="s">
        <v>162</v>
      </c>
      <c r="D250" s="21" t="s">
        <v>50</v>
      </c>
      <c r="E250" s="5" t="s">
        <v>27</v>
      </c>
      <c r="F250" s="21" t="s">
        <v>13</v>
      </c>
      <c r="G250" s="5" t="s">
        <v>166</v>
      </c>
      <c r="H250" s="9">
        <f>CEILING(3580*USD,10)</f>
        <v>272980</v>
      </c>
      <c r="I250" s="8"/>
      <c r="J250" s="9"/>
    </row>
    <row r="251" spans="1:10" ht="20.100000000000001" customHeight="1" x14ac:dyDescent="0.3">
      <c r="A251" s="147"/>
      <c r="B251" s="20" t="s">
        <v>157</v>
      </c>
      <c r="C251" s="21" t="s">
        <v>162</v>
      </c>
      <c r="D251" s="21" t="s">
        <v>50</v>
      </c>
      <c r="E251" s="5" t="s">
        <v>27</v>
      </c>
      <c r="F251" s="21" t="s">
        <v>165</v>
      </c>
      <c r="G251" s="5" t="s">
        <v>166</v>
      </c>
      <c r="H251" s="9">
        <f>CEILING(3870*USD,10)</f>
        <v>295090</v>
      </c>
      <c r="I251" s="8"/>
      <c r="J251" s="9"/>
    </row>
    <row r="252" spans="1:10" ht="20.100000000000001" customHeight="1" x14ac:dyDescent="0.3">
      <c r="A252" s="147"/>
      <c r="B252" s="20" t="s">
        <v>158</v>
      </c>
      <c r="C252" s="21" t="s">
        <v>163</v>
      </c>
      <c r="D252" s="21" t="s">
        <v>164</v>
      </c>
      <c r="E252" s="5" t="s">
        <v>27</v>
      </c>
      <c r="F252" s="21" t="s">
        <v>13</v>
      </c>
      <c r="G252" s="5" t="s">
        <v>166</v>
      </c>
      <c r="H252" s="9">
        <f>CEILING(3580*USD,10)</f>
        <v>272980</v>
      </c>
      <c r="I252" s="8"/>
      <c r="J252" s="9"/>
    </row>
    <row r="253" spans="1:10" ht="20.100000000000001" customHeight="1" x14ac:dyDescent="0.3">
      <c r="A253" s="147"/>
      <c r="B253" s="20" t="s">
        <v>159</v>
      </c>
      <c r="C253" s="21" t="s">
        <v>163</v>
      </c>
      <c r="D253" s="21" t="s">
        <v>164</v>
      </c>
      <c r="E253" s="5" t="s">
        <v>27</v>
      </c>
      <c r="F253" s="21" t="s">
        <v>165</v>
      </c>
      <c r="G253" s="5" t="s">
        <v>166</v>
      </c>
      <c r="H253" s="9">
        <f>CEILING(3870*USD,10)</f>
        <v>295090</v>
      </c>
      <c r="I253" s="8"/>
      <c r="J253" s="9"/>
    </row>
    <row r="254" spans="1:10" ht="20.100000000000001" customHeight="1" x14ac:dyDescent="0.3">
      <c r="A254" s="159" t="s">
        <v>67</v>
      </c>
      <c r="B254" s="159"/>
      <c r="C254" s="159"/>
      <c r="D254" s="159"/>
      <c r="E254" s="159"/>
      <c r="F254" s="159"/>
      <c r="G254" s="159"/>
      <c r="H254" s="159"/>
      <c r="I254" s="159"/>
      <c r="J254" s="159"/>
    </row>
    <row r="255" spans="1:10" ht="20.100000000000001" customHeight="1" x14ac:dyDescent="0.3">
      <c r="A255" s="181" t="s">
        <v>945</v>
      </c>
      <c r="B255" s="182"/>
      <c r="C255" s="182"/>
      <c r="D255" s="182"/>
      <c r="E255" s="182"/>
      <c r="F255" s="182"/>
      <c r="G255" s="183"/>
      <c r="H255" s="9">
        <v>1630</v>
      </c>
      <c r="I255" s="8"/>
      <c r="J255" s="9"/>
    </row>
    <row r="256" spans="1:10" ht="20.100000000000001" customHeight="1" x14ac:dyDescent="0.3">
      <c r="A256" s="181" t="s">
        <v>167</v>
      </c>
      <c r="B256" s="182"/>
      <c r="C256" s="182"/>
      <c r="D256" s="182"/>
      <c r="E256" s="182"/>
      <c r="F256" s="182"/>
      <c r="G256" s="183"/>
      <c r="H256" s="9">
        <f>CEILING(155*USD,10)</f>
        <v>11820</v>
      </c>
      <c r="I256" s="8"/>
      <c r="J256" s="9"/>
    </row>
    <row r="257" spans="1:10" ht="20.100000000000001" customHeight="1" x14ac:dyDescent="0.3">
      <c r="A257" s="181" t="s">
        <v>168</v>
      </c>
      <c r="B257" s="182"/>
      <c r="C257" s="182"/>
      <c r="D257" s="182"/>
      <c r="E257" s="182"/>
      <c r="F257" s="182"/>
      <c r="G257" s="183"/>
      <c r="H257" s="9">
        <f>CEILING(820*USD,10)</f>
        <v>62530</v>
      </c>
      <c r="I257" s="8"/>
      <c r="J257" s="9"/>
    </row>
    <row r="258" spans="1:10" ht="20.100000000000001" customHeight="1" x14ac:dyDescent="0.3">
      <c r="A258" s="181" t="s">
        <v>169</v>
      </c>
      <c r="B258" s="182"/>
      <c r="C258" s="182"/>
      <c r="D258" s="182"/>
      <c r="E258" s="182"/>
      <c r="F258" s="182"/>
      <c r="G258" s="183"/>
      <c r="H258" s="9">
        <f>CEILING(245*USD,10)</f>
        <v>18690</v>
      </c>
      <c r="I258" s="8"/>
      <c r="J258" s="9"/>
    </row>
    <row r="259" spans="1:10" ht="20.100000000000001" customHeight="1" x14ac:dyDescent="0.3">
      <c r="A259" s="181" t="s">
        <v>170</v>
      </c>
      <c r="B259" s="182"/>
      <c r="C259" s="182"/>
      <c r="D259" s="182"/>
      <c r="E259" s="182"/>
      <c r="F259" s="182"/>
      <c r="G259" s="183"/>
      <c r="H259" s="9">
        <f>CEILING(640*USD,10)</f>
        <v>48800</v>
      </c>
      <c r="I259" s="8"/>
      <c r="J259" s="9"/>
    </row>
    <row r="260" spans="1:10" ht="20.100000000000001" customHeight="1" x14ac:dyDescent="0.3">
      <c r="A260" s="181" t="s">
        <v>171</v>
      </c>
      <c r="B260" s="182"/>
      <c r="C260" s="182"/>
      <c r="D260" s="182"/>
      <c r="E260" s="182"/>
      <c r="F260" s="182"/>
      <c r="G260" s="183"/>
      <c r="H260" s="9">
        <f>CEILING(450*USD,10)</f>
        <v>34320</v>
      </c>
      <c r="I260" s="8"/>
      <c r="J260" s="9"/>
    </row>
    <row r="261" spans="1:10" ht="20.100000000000001" customHeight="1" x14ac:dyDescent="0.3">
      <c r="A261" s="181" t="s">
        <v>1135</v>
      </c>
      <c r="B261" s="182"/>
      <c r="C261" s="182"/>
      <c r="D261" s="182"/>
      <c r="E261" s="182"/>
      <c r="F261" s="182"/>
      <c r="G261" s="183"/>
      <c r="H261" s="9">
        <v>1220</v>
      </c>
      <c r="I261" s="8"/>
      <c r="J261" s="9"/>
    </row>
    <row r="262" spans="1:10" ht="20.100000000000001" customHeight="1" x14ac:dyDescent="0.3">
      <c r="A262" s="181" t="s">
        <v>172</v>
      </c>
      <c r="B262" s="182"/>
      <c r="C262" s="182"/>
      <c r="D262" s="182"/>
      <c r="E262" s="182"/>
      <c r="F262" s="182"/>
      <c r="G262" s="183"/>
      <c r="H262" s="9">
        <f>CEILING(367*USD,10)</f>
        <v>27990</v>
      </c>
      <c r="I262" s="8"/>
      <c r="J262" s="9"/>
    </row>
    <row r="263" spans="1:10" ht="20.100000000000001" customHeight="1" x14ac:dyDescent="0.3">
      <c r="A263" s="155" t="s">
        <v>173</v>
      </c>
      <c r="B263" s="155"/>
      <c r="C263" s="155"/>
      <c r="D263" s="155"/>
      <c r="E263" s="155"/>
      <c r="F263" s="155"/>
      <c r="G263" s="155"/>
      <c r="H263" s="9">
        <f>CEILING(367*USD,10)</f>
        <v>27990</v>
      </c>
      <c r="I263" s="8"/>
      <c r="J263" s="9"/>
    </row>
    <row r="264" spans="1:10" ht="20.100000000000001" customHeight="1" x14ac:dyDescent="0.3">
      <c r="A264" s="155" t="s">
        <v>174</v>
      </c>
      <c r="B264" s="155"/>
      <c r="C264" s="155"/>
      <c r="D264" s="155"/>
      <c r="E264" s="155"/>
      <c r="F264" s="155"/>
      <c r="G264" s="155"/>
      <c r="H264" s="9">
        <f>CEILING(550*USD,10)</f>
        <v>41940</v>
      </c>
      <c r="I264" s="8"/>
      <c r="J264" s="9"/>
    </row>
    <row r="265" spans="1:10" ht="20.100000000000001" customHeight="1" x14ac:dyDescent="0.3">
      <c r="A265" s="181" t="s">
        <v>111</v>
      </c>
      <c r="B265" s="182"/>
      <c r="C265" s="182"/>
      <c r="D265" s="182"/>
      <c r="E265" s="182"/>
      <c r="F265" s="182"/>
      <c r="G265" s="183"/>
      <c r="H265" s="9">
        <f>CEILING(367*USD,10)</f>
        <v>27990</v>
      </c>
      <c r="I265" s="8"/>
      <c r="J265" s="9"/>
    </row>
    <row r="266" spans="1:10" ht="20.100000000000001" customHeight="1" x14ac:dyDescent="0.3">
      <c r="A266" s="181" t="s">
        <v>1136</v>
      </c>
      <c r="B266" s="182"/>
      <c r="C266" s="182"/>
      <c r="D266" s="182"/>
      <c r="E266" s="182"/>
      <c r="F266" s="182"/>
      <c r="G266" s="183"/>
      <c r="H266" s="9">
        <f>CEILING(670*USD,10)</f>
        <v>51090</v>
      </c>
      <c r="I266" s="8"/>
      <c r="J266" s="9"/>
    </row>
    <row r="7424" spans="14:14" ht="53.4" x14ac:dyDescent="0.3">
      <c r="N7424" s="109" t="s">
        <v>1663</v>
      </c>
    </row>
  </sheetData>
  <mergeCells count="156">
    <mergeCell ref="A34:G34"/>
    <mergeCell ref="A32:G32"/>
    <mergeCell ref="A137:G137"/>
    <mergeCell ref="A112:A129"/>
    <mergeCell ref="A108:G108"/>
    <mergeCell ref="A63:G63"/>
    <mergeCell ref="A97:G97"/>
    <mergeCell ref="A138:G138"/>
    <mergeCell ref="A139:G139"/>
    <mergeCell ref="A140:J140"/>
    <mergeCell ref="A163:G163"/>
    <mergeCell ref="A132:G132"/>
    <mergeCell ref="A133:G133"/>
    <mergeCell ref="A134:G134"/>
    <mergeCell ref="A135:G135"/>
    <mergeCell ref="A136:G136"/>
    <mergeCell ref="A66:G66"/>
    <mergeCell ref="A69:G69"/>
    <mergeCell ref="A70:G70"/>
    <mergeCell ref="A71:J71"/>
    <mergeCell ref="A72:J72"/>
    <mergeCell ref="A74:A95"/>
    <mergeCell ref="A28:J28"/>
    <mergeCell ref="A51:G51"/>
    <mergeCell ref="A55:J55"/>
    <mergeCell ref="A103:G103"/>
    <mergeCell ref="A99:G99"/>
    <mergeCell ref="A98:G98"/>
    <mergeCell ref="A54:G54"/>
    <mergeCell ref="A56:J56"/>
    <mergeCell ref="A58:A61"/>
    <mergeCell ref="A62:J62"/>
    <mergeCell ref="A64:G64"/>
    <mergeCell ref="A100:G100"/>
    <mergeCell ref="A101:G101"/>
    <mergeCell ref="A67:G67"/>
    <mergeCell ref="A68:G68"/>
    <mergeCell ref="A48:G48"/>
    <mergeCell ref="A65:G65"/>
    <mergeCell ref="A35:G35"/>
    <mergeCell ref="A29:G29"/>
    <mergeCell ref="A110:J110"/>
    <mergeCell ref="A107:G107"/>
    <mergeCell ref="A168:G168"/>
    <mergeCell ref="A169:G169"/>
    <mergeCell ref="A102:G102"/>
    <mergeCell ref="A170:G170"/>
    <mergeCell ref="A37:J37"/>
    <mergeCell ref="A38:J38"/>
    <mergeCell ref="A40:A45"/>
    <mergeCell ref="A46:J46"/>
    <mergeCell ref="A49:G49"/>
    <mergeCell ref="A105:G105"/>
    <mergeCell ref="A104:G104"/>
    <mergeCell ref="A131:G131"/>
    <mergeCell ref="A106:G106"/>
    <mergeCell ref="A53:G53"/>
    <mergeCell ref="A96:J96"/>
    <mergeCell ref="A164:G164"/>
    <mergeCell ref="A165:G165"/>
    <mergeCell ref="A109:J109"/>
    <mergeCell ref="A166:G166"/>
    <mergeCell ref="A167:G167"/>
    <mergeCell ref="A162:J162"/>
    <mergeCell ref="A141:J141"/>
    <mergeCell ref="A264:G264"/>
    <mergeCell ref="A265:G265"/>
    <mergeCell ref="A266:G266"/>
    <mergeCell ref="A263:G263"/>
    <mergeCell ref="A130:J130"/>
    <mergeCell ref="A143:A161"/>
    <mergeCell ref="A176:J176"/>
    <mergeCell ref="A178:A187"/>
    <mergeCell ref="A171:G171"/>
    <mergeCell ref="A172:G172"/>
    <mergeCell ref="A175:J175"/>
    <mergeCell ref="A199:A206"/>
    <mergeCell ref="A207:J207"/>
    <mergeCell ref="A193:G193"/>
    <mergeCell ref="A194:G194"/>
    <mergeCell ref="A195:G195"/>
    <mergeCell ref="A197:J197"/>
    <mergeCell ref="A188:J188"/>
    <mergeCell ref="A190:G190"/>
    <mergeCell ref="A191:G191"/>
    <mergeCell ref="A192:G192"/>
    <mergeCell ref="A189:G189"/>
    <mergeCell ref="A174:G174"/>
    <mergeCell ref="A173:G173"/>
    <mergeCell ref="A230:G230"/>
    <mergeCell ref="A232:G232"/>
    <mergeCell ref="A233:G233"/>
    <mergeCell ref="A235:G235"/>
    <mergeCell ref="A234:G234"/>
    <mergeCell ref="A231:G231"/>
    <mergeCell ref="A236:G236"/>
    <mergeCell ref="A229:G229"/>
    <mergeCell ref="A262:G262"/>
    <mergeCell ref="A259:G259"/>
    <mergeCell ref="A211:G211"/>
    <mergeCell ref="A208:G208"/>
    <mergeCell ref="A210:G210"/>
    <mergeCell ref="A196:J196"/>
    <mergeCell ref="A212:G212"/>
    <mergeCell ref="A213:G213"/>
    <mergeCell ref="A216:J216"/>
    <mergeCell ref="A217:J217"/>
    <mergeCell ref="A209:G209"/>
    <mergeCell ref="A1:J1"/>
    <mergeCell ref="A4:J4"/>
    <mergeCell ref="A5:G5"/>
    <mergeCell ref="A6:G6"/>
    <mergeCell ref="A7:G7"/>
    <mergeCell ref="A8:G8"/>
    <mergeCell ref="A11:J11"/>
    <mergeCell ref="A23:G23"/>
    <mergeCell ref="A52:G52"/>
    <mergeCell ref="A12:J12"/>
    <mergeCell ref="A15:J15"/>
    <mergeCell ref="A19:G19"/>
    <mergeCell ref="A21:G21"/>
    <mergeCell ref="A22:G22"/>
    <mergeCell ref="A17:G17"/>
    <mergeCell ref="A18:G18"/>
    <mergeCell ref="A9:G9"/>
    <mergeCell ref="A10:G10"/>
    <mergeCell ref="A50:G50"/>
    <mergeCell ref="A16:G16"/>
    <mergeCell ref="A47:G47"/>
    <mergeCell ref="A30:G30"/>
    <mergeCell ref="A31:G31"/>
    <mergeCell ref="A33:G33"/>
    <mergeCell ref="A257:G257"/>
    <mergeCell ref="A258:G258"/>
    <mergeCell ref="A261:G261"/>
    <mergeCell ref="A260:G260"/>
    <mergeCell ref="A20:G20"/>
    <mergeCell ref="A36:G36"/>
    <mergeCell ref="A24:J24"/>
    <mergeCell ref="A25:J25"/>
    <mergeCell ref="A238:G238"/>
    <mergeCell ref="A240:G240"/>
    <mergeCell ref="A256:G256"/>
    <mergeCell ref="A244:J244"/>
    <mergeCell ref="A246:A253"/>
    <mergeCell ref="A254:J254"/>
    <mergeCell ref="A214:G214"/>
    <mergeCell ref="A215:G215"/>
    <mergeCell ref="A242:G242"/>
    <mergeCell ref="A255:G255"/>
    <mergeCell ref="A239:G239"/>
    <mergeCell ref="A243:J243"/>
    <mergeCell ref="A241:G241"/>
    <mergeCell ref="A228:J228"/>
    <mergeCell ref="A237:G237"/>
    <mergeCell ref="A219:A227"/>
  </mergeCells>
  <hyperlinks>
    <hyperlink ref="B143" r:id="rId1"/>
    <hyperlink ref="B145" r:id="rId2"/>
    <hyperlink ref="B147" r:id="rId3"/>
    <hyperlink ref="B144" r:id="rId4"/>
    <hyperlink ref="B146" r:id="rId5"/>
    <hyperlink ref="B148" r:id="rId6"/>
    <hyperlink ref="B149" r:id="rId7"/>
    <hyperlink ref="B150" r:id="rId8"/>
    <hyperlink ref="B151" r:id="rId9"/>
    <hyperlink ref="B152" r:id="rId10"/>
    <hyperlink ref="B153" r:id="rId11"/>
    <hyperlink ref="B155" r:id="rId12"/>
    <hyperlink ref="B157" r:id="rId13"/>
    <hyperlink ref="B154" r:id="rId14"/>
    <hyperlink ref="B156" r:id="rId15"/>
    <hyperlink ref="B159" r:id="rId16"/>
    <hyperlink ref="B158" r:id="rId17"/>
    <hyperlink ref="B160" r:id="rId18"/>
    <hyperlink ref="B161" r:id="rId19"/>
    <hyperlink ref="B219" r:id="rId20"/>
    <hyperlink ref="B220" r:id="rId21"/>
    <hyperlink ref="B221" r:id="rId22"/>
    <hyperlink ref="B222" r:id="rId23"/>
    <hyperlink ref="B223" r:id="rId24"/>
    <hyperlink ref="B224" r:id="rId25"/>
    <hyperlink ref="B225" r:id="rId26"/>
    <hyperlink ref="B226" r:id="rId27"/>
    <hyperlink ref="B227" r:id="rId28"/>
    <hyperlink ref="B246" r:id="rId29"/>
    <hyperlink ref="B247" r:id="rId30"/>
    <hyperlink ref="B248" r:id="rId31"/>
    <hyperlink ref="B249" r:id="rId32"/>
    <hyperlink ref="B250" r:id="rId33"/>
    <hyperlink ref="B251" r:id="rId34"/>
    <hyperlink ref="B252" r:id="rId35"/>
    <hyperlink ref="B253" r:id="rId36"/>
    <hyperlink ref="B3" r:id="rId37"/>
    <hyperlink ref="B14" r:id="rId38" display="AF 225DRCE"/>
    <hyperlink ref="B27" r:id="rId39" display="AF 224RCE"/>
    <hyperlink ref="B40" r:id="rId40" display="HT 84CE"/>
    <hyperlink ref="B42" r:id="rId41" display="HT 124CE"/>
    <hyperlink ref="B41" r:id="rId42" display="HT 84RCE"/>
    <hyperlink ref="B43" r:id="rId43" display="HT 124RCE"/>
    <hyperlink ref="B45" r:id="rId44" display="HT 224RCE"/>
    <hyperlink ref="B44" r:id="rId45" display="HT 224CE"/>
    <hyperlink ref="B74" r:id="rId46" display="LN 223CE"/>
    <hyperlink ref="B76" r:id="rId47" display="LN 323CE"/>
    <hyperlink ref="B78" r:id="rId48" display="LN 423CE"/>
    <hyperlink ref="B75" r:id="rId49" display="LN 223RCE"/>
    <hyperlink ref="B77" r:id="rId50" display="LN 323RCE"/>
    <hyperlink ref="B80" r:id="rId51" display="LN 623CE"/>
    <hyperlink ref="B79" r:id="rId52" display="LN 423RCE"/>
    <hyperlink ref="B81" r:id="rId53" display="LN 623RCE"/>
    <hyperlink ref="B82" r:id="rId54" display="LN 1202CE"/>
    <hyperlink ref="B84" r:id="rId55" display="LN 2202CE"/>
    <hyperlink ref="B88" r:id="rId56" display="LN 4202CE"/>
    <hyperlink ref="B83" r:id="rId57" display="LN 1202RCE"/>
    <hyperlink ref="B85" r:id="rId58" display="LN 2202RCE"/>
    <hyperlink ref="B87" r:id="rId59" display="LN 3202RCE"/>
    <hyperlink ref="B86" r:id="rId60" display="LN 3202CE"/>
    <hyperlink ref="B89" r:id="rId61" display="LN 4202RCE"/>
    <hyperlink ref="B90" r:id="rId62" display="LN 6202CE"/>
    <hyperlink ref="B91" r:id="rId63" display="LN 8201CE"/>
    <hyperlink ref="B92" r:id="rId64" display="LN 12001CE"/>
    <hyperlink ref="B93" r:id="rId65" display="LN 15001CE"/>
    <hyperlink ref="B94" r:id="rId66" display="LN 21001CE"/>
    <hyperlink ref="B95" r:id="rId67" display="LN 31001CE"/>
    <hyperlink ref="B178" r:id="rId68"/>
    <hyperlink ref="B180" r:id="rId69"/>
    <hyperlink ref="B182" r:id="rId70"/>
    <hyperlink ref="B184" r:id="rId71"/>
    <hyperlink ref="B186" r:id="rId72"/>
    <hyperlink ref="B179" r:id="rId73"/>
    <hyperlink ref="B181" r:id="rId74"/>
    <hyperlink ref="B183" r:id="rId75"/>
    <hyperlink ref="B185" r:id="rId76"/>
    <hyperlink ref="B187" r:id="rId77"/>
    <hyperlink ref="B199" r:id="rId78"/>
    <hyperlink ref="B200" r:id="rId79"/>
    <hyperlink ref="B201" r:id="rId80"/>
    <hyperlink ref="B202" r:id="rId81"/>
    <hyperlink ref="B203" r:id="rId82"/>
    <hyperlink ref="B205" r:id="rId83"/>
    <hyperlink ref="B204" r:id="rId84"/>
    <hyperlink ref="B206" r:id="rId85"/>
    <hyperlink ref="B129" r:id="rId86"/>
    <hyperlink ref="B128" r:id="rId87"/>
    <hyperlink ref="B127" r:id="rId88"/>
    <hyperlink ref="B126" r:id="rId89"/>
    <hyperlink ref="B125" r:id="rId90"/>
    <hyperlink ref="B124" r:id="rId91"/>
    <hyperlink ref="B123" r:id="rId92"/>
    <hyperlink ref="B122" r:id="rId93"/>
    <hyperlink ref="B121" r:id="rId94"/>
    <hyperlink ref="B120" r:id="rId95"/>
    <hyperlink ref="B119" r:id="rId96"/>
    <hyperlink ref="B118" r:id="rId97"/>
    <hyperlink ref="B117" r:id="rId98"/>
    <hyperlink ref="B116" r:id="rId99"/>
    <hyperlink ref="B115" r:id="rId100"/>
    <hyperlink ref="B114" r:id="rId101"/>
    <hyperlink ref="B113" r:id="rId102"/>
    <hyperlink ref="B112" r:id="rId103"/>
  </hyperlinks>
  <pageMargins left="0.7" right="0.7" top="0.75" bottom="0.75" header="0.3" footer="0.3"/>
  <pageSetup paperSize="9" orientation="portrait" r:id="rId104"/>
  <drawing r:id="rId10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44"/>
  <sheetViews>
    <sheetView topLeftCell="A331" zoomScale="85" zoomScaleNormal="85" workbookViewId="0">
      <selection activeCell="I332" sqref="I332:J344"/>
    </sheetView>
  </sheetViews>
  <sheetFormatPr defaultColWidth="9.109375" defaultRowHeight="13.8" x14ac:dyDescent="0.3"/>
  <cols>
    <col min="1" max="1" width="23.33203125" style="1" customWidth="1"/>
    <col min="2" max="2" width="2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7.44140625" style="1" hidden="1" customWidth="1"/>
    <col min="13" max="13" width="0" style="1" hidden="1" customWidth="1"/>
    <col min="14" max="16384" width="9.109375" style="1"/>
  </cols>
  <sheetData>
    <row r="1" spans="1:10" ht="39.9" customHeight="1" x14ac:dyDescent="0.3">
      <c r="A1" s="139" t="s">
        <v>1421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30" customHeight="1" x14ac:dyDescent="0.3">
      <c r="A2" s="43"/>
      <c r="B2" s="38" t="s">
        <v>2</v>
      </c>
      <c r="C2" s="4" t="s">
        <v>42</v>
      </c>
      <c r="D2" s="4" t="s">
        <v>43</v>
      </c>
      <c r="E2" s="38" t="s">
        <v>9</v>
      </c>
      <c r="F2" s="38" t="s">
        <v>10</v>
      </c>
      <c r="G2" s="4" t="s">
        <v>11</v>
      </c>
      <c r="H2" s="4" t="s">
        <v>17</v>
      </c>
      <c r="I2" s="4"/>
      <c r="J2" s="4"/>
    </row>
    <row r="3" spans="1:10" ht="20.100000000000001" customHeight="1" x14ac:dyDescent="0.3">
      <c r="A3" s="153"/>
      <c r="B3" s="6" t="s">
        <v>598</v>
      </c>
      <c r="C3" s="43" t="s">
        <v>45</v>
      </c>
      <c r="D3" s="43" t="s">
        <v>47</v>
      </c>
      <c r="E3" s="43" t="s">
        <v>14</v>
      </c>
      <c r="F3" s="43" t="s">
        <v>13</v>
      </c>
      <c r="G3" s="43" t="s">
        <v>71</v>
      </c>
      <c r="H3" s="7">
        <f>CEILING(1828*USD,10)</f>
        <v>139390</v>
      </c>
      <c r="I3" s="8"/>
      <c r="J3" s="9"/>
    </row>
    <row r="4" spans="1:10" ht="20.100000000000001" customHeight="1" x14ac:dyDescent="0.3">
      <c r="A4" s="153"/>
      <c r="B4" s="6" t="s">
        <v>599</v>
      </c>
      <c r="C4" s="43" t="s">
        <v>46</v>
      </c>
      <c r="D4" s="43" t="s">
        <v>47</v>
      </c>
      <c r="E4" s="43" t="s">
        <v>14</v>
      </c>
      <c r="F4" s="43" t="s">
        <v>13</v>
      </c>
      <c r="G4" s="43" t="s">
        <v>71</v>
      </c>
      <c r="H4" s="7">
        <f>CEILING(1999*USD,10)</f>
        <v>152430</v>
      </c>
      <c r="I4" s="8"/>
      <c r="J4" s="9"/>
    </row>
    <row r="5" spans="1:10" ht="20.100000000000001" customHeight="1" x14ac:dyDescent="0.3">
      <c r="A5" s="153"/>
      <c r="B5" s="6" t="s">
        <v>600</v>
      </c>
      <c r="C5" s="43" t="s">
        <v>45</v>
      </c>
      <c r="D5" s="43" t="s">
        <v>47</v>
      </c>
      <c r="E5" s="43" t="s">
        <v>14</v>
      </c>
      <c r="F5" s="43" t="s">
        <v>15</v>
      </c>
      <c r="G5" s="43" t="s">
        <v>71</v>
      </c>
      <c r="H5" s="7">
        <f>CEILING(1962*USD,10)</f>
        <v>149610</v>
      </c>
      <c r="I5" s="8"/>
      <c r="J5" s="9"/>
    </row>
    <row r="6" spans="1:10" ht="20.100000000000001" customHeight="1" x14ac:dyDescent="0.3">
      <c r="A6" s="153"/>
      <c r="B6" s="6" t="s">
        <v>601</v>
      </c>
      <c r="C6" s="43" t="s">
        <v>46</v>
      </c>
      <c r="D6" s="43" t="s">
        <v>47</v>
      </c>
      <c r="E6" s="43" t="s">
        <v>14</v>
      </c>
      <c r="F6" s="43" t="s">
        <v>15</v>
      </c>
      <c r="G6" s="43" t="s">
        <v>71</v>
      </c>
      <c r="H6" s="7">
        <f>CEILING(2194*USD,10)</f>
        <v>167300</v>
      </c>
      <c r="I6" s="8"/>
      <c r="J6" s="9"/>
    </row>
    <row r="7" spans="1:10" ht="20.100000000000001" customHeight="1" x14ac:dyDescent="0.3">
      <c r="A7" s="153"/>
      <c r="B7" s="6" t="s">
        <v>602</v>
      </c>
      <c r="C7" s="43" t="s">
        <v>52</v>
      </c>
      <c r="D7" s="43" t="s">
        <v>47</v>
      </c>
      <c r="E7" s="43" t="s">
        <v>14</v>
      </c>
      <c r="F7" s="43" t="s">
        <v>15</v>
      </c>
      <c r="G7" s="43" t="s">
        <v>71</v>
      </c>
      <c r="H7" s="7">
        <f>CEILING(2420*USD,10)</f>
        <v>184530</v>
      </c>
      <c r="I7" s="8"/>
      <c r="J7" s="9"/>
    </row>
    <row r="8" spans="1:10" ht="20.100000000000001" customHeight="1" x14ac:dyDescent="0.3">
      <c r="A8" s="153"/>
      <c r="B8" s="6" t="s">
        <v>605</v>
      </c>
      <c r="C8" s="43" t="s">
        <v>45</v>
      </c>
      <c r="D8" s="43" t="s">
        <v>47</v>
      </c>
      <c r="E8" s="43" t="s">
        <v>14</v>
      </c>
      <c r="F8" s="43" t="s">
        <v>15</v>
      </c>
      <c r="G8" s="43" t="s">
        <v>71</v>
      </c>
      <c r="H8" s="7">
        <f>CEILING(2249*USD,10)</f>
        <v>171490</v>
      </c>
      <c r="I8" s="8"/>
      <c r="J8" s="9"/>
    </row>
    <row r="9" spans="1:10" ht="20.100000000000001" customHeight="1" x14ac:dyDescent="0.3">
      <c r="A9" s="153"/>
      <c r="B9" s="6" t="s">
        <v>603</v>
      </c>
      <c r="C9" s="43" t="s">
        <v>46</v>
      </c>
      <c r="D9" s="43" t="s">
        <v>47</v>
      </c>
      <c r="E9" s="43" t="s">
        <v>14</v>
      </c>
      <c r="F9" s="43" t="s">
        <v>15</v>
      </c>
      <c r="G9" s="43" t="s">
        <v>71</v>
      </c>
      <c r="H9" s="7">
        <f>CEILING(2462*USD,10)</f>
        <v>187730</v>
      </c>
      <c r="I9" s="8"/>
      <c r="J9" s="9"/>
    </row>
    <row r="10" spans="1:10" ht="20.100000000000001" customHeight="1" x14ac:dyDescent="0.3">
      <c r="A10" s="153"/>
      <c r="B10" s="6" t="s">
        <v>604</v>
      </c>
      <c r="C10" s="43" t="s">
        <v>52</v>
      </c>
      <c r="D10" s="43" t="s">
        <v>47</v>
      </c>
      <c r="E10" s="43" t="s">
        <v>14</v>
      </c>
      <c r="F10" s="43" t="s">
        <v>15</v>
      </c>
      <c r="G10" s="43" t="s">
        <v>71</v>
      </c>
      <c r="H10" s="7">
        <f>CEILING(2637*USD,10)</f>
        <v>201080</v>
      </c>
      <c r="I10" s="8"/>
      <c r="J10" s="9"/>
    </row>
    <row r="11" spans="1:10" ht="20.100000000000001" customHeight="1" x14ac:dyDescent="0.3">
      <c r="A11" s="153"/>
      <c r="B11" s="6" t="s">
        <v>596</v>
      </c>
      <c r="C11" s="43" t="s">
        <v>606</v>
      </c>
      <c r="D11" s="43" t="s">
        <v>70</v>
      </c>
      <c r="E11" s="43" t="s">
        <v>14</v>
      </c>
      <c r="F11" s="43" t="s">
        <v>15</v>
      </c>
      <c r="G11" s="43" t="s">
        <v>71</v>
      </c>
      <c r="H11" s="7">
        <f>CEILING(2895*USD,10)</f>
        <v>220750</v>
      </c>
      <c r="I11" s="8"/>
      <c r="J11" s="9"/>
    </row>
    <row r="12" spans="1:10" ht="20.100000000000001" customHeight="1" x14ac:dyDescent="0.3">
      <c r="A12" s="154"/>
      <c r="B12" s="6" t="s">
        <v>597</v>
      </c>
      <c r="C12" s="43" t="s">
        <v>607</v>
      </c>
      <c r="D12" s="43" t="s">
        <v>70</v>
      </c>
      <c r="E12" s="43" t="s">
        <v>14</v>
      </c>
      <c r="F12" s="43" t="s">
        <v>15</v>
      </c>
      <c r="G12" s="43" t="s">
        <v>71</v>
      </c>
      <c r="H12" s="7">
        <f>CEILING(3147*USD,10)</f>
        <v>239960</v>
      </c>
      <c r="I12" s="8"/>
      <c r="J12" s="9"/>
    </row>
    <row r="13" spans="1:10" ht="20.100000000000001" customHeight="1" x14ac:dyDescent="0.3">
      <c r="A13" s="159" t="s">
        <v>67</v>
      </c>
      <c r="B13" s="159"/>
      <c r="C13" s="159"/>
      <c r="D13" s="159"/>
      <c r="E13" s="159"/>
      <c r="F13" s="159"/>
      <c r="G13" s="159"/>
      <c r="H13" s="159"/>
      <c r="I13" s="159"/>
      <c r="J13" s="159"/>
    </row>
    <row r="14" spans="1:10" ht="20.100000000000001" customHeight="1" x14ac:dyDescent="0.3">
      <c r="A14" s="181" t="s">
        <v>608</v>
      </c>
      <c r="B14" s="182"/>
      <c r="C14" s="182"/>
      <c r="D14" s="182"/>
      <c r="E14" s="182"/>
      <c r="F14" s="182"/>
      <c r="G14" s="183"/>
      <c r="H14" s="9" t="s">
        <v>829</v>
      </c>
      <c r="I14" s="8"/>
      <c r="J14" s="9"/>
    </row>
    <row r="15" spans="1:10" ht="20.100000000000001" customHeight="1" x14ac:dyDescent="0.3">
      <c r="A15" s="149"/>
      <c r="B15" s="149"/>
      <c r="C15" s="149"/>
      <c r="D15" s="149"/>
      <c r="E15" s="149"/>
      <c r="F15" s="149"/>
      <c r="G15" s="149"/>
      <c r="H15" s="149"/>
      <c r="I15" s="149"/>
      <c r="J15" s="149"/>
    </row>
    <row r="16" spans="1:10" ht="30" customHeight="1" x14ac:dyDescent="0.3">
      <c r="A16" s="140" t="s">
        <v>1050</v>
      </c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2" ht="30" customHeight="1" x14ac:dyDescent="0.3">
      <c r="A17" s="43"/>
      <c r="B17" s="38" t="s">
        <v>2</v>
      </c>
      <c r="C17" s="4" t="s">
        <v>42</v>
      </c>
      <c r="D17" s="4" t="s">
        <v>43</v>
      </c>
      <c r="E17" s="38" t="s">
        <v>9</v>
      </c>
      <c r="F17" s="38" t="s">
        <v>10</v>
      </c>
      <c r="G17" s="4" t="s">
        <v>11</v>
      </c>
      <c r="H17" s="4" t="s">
        <v>17</v>
      </c>
      <c r="I17" s="4"/>
      <c r="J17" s="4"/>
    </row>
    <row r="18" spans="1:12" ht="20.100000000000001" customHeight="1" x14ac:dyDescent="0.3">
      <c r="A18" s="152"/>
      <c r="B18" s="6" t="s">
        <v>609</v>
      </c>
      <c r="C18" s="43" t="s">
        <v>46</v>
      </c>
      <c r="D18" s="43" t="s">
        <v>48</v>
      </c>
      <c r="E18" s="43" t="s">
        <v>27</v>
      </c>
      <c r="F18" s="43" t="s">
        <v>13</v>
      </c>
      <c r="G18" s="43" t="s">
        <v>630</v>
      </c>
      <c r="H18" s="7">
        <f>CEILING(977*USD,10)</f>
        <v>74500</v>
      </c>
      <c r="I18" s="8"/>
      <c r="J18" s="9"/>
    </row>
    <row r="19" spans="1:12" ht="20.100000000000001" customHeight="1" x14ac:dyDescent="0.3">
      <c r="A19" s="153"/>
      <c r="B19" s="6" t="s">
        <v>618</v>
      </c>
      <c r="C19" s="43" t="s">
        <v>46</v>
      </c>
      <c r="D19" s="43" t="s">
        <v>48</v>
      </c>
      <c r="E19" s="43" t="s">
        <v>27</v>
      </c>
      <c r="F19" s="43" t="s">
        <v>15</v>
      </c>
      <c r="G19" s="43" t="s">
        <v>630</v>
      </c>
      <c r="H19" s="7">
        <f>CEILING(1183*USD,10)</f>
        <v>90210</v>
      </c>
      <c r="I19" s="8"/>
      <c r="J19" s="9"/>
    </row>
    <row r="20" spans="1:12" ht="20.100000000000001" customHeight="1" x14ac:dyDescent="0.3">
      <c r="A20" s="153"/>
      <c r="B20" s="6" t="s">
        <v>610</v>
      </c>
      <c r="C20" s="43" t="s">
        <v>53</v>
      </c>
      <c r="D20" s="43" t="s">
        <v>48</v>
      </c>
      <c r="E20" s="43" t="s">
        <v>27</v>
      </c>
      <c r="F20" s="43" t="s">
        <v>13</v>
      </c>
      <c r="G20" s="43" t="s">
        <v>630</v>
      </c>
      <c r="H20" s="7">
        <f>CEILING(1036*USD,10)</f>
        <v>79000</v>
      </c>
      <c r="I20" s="8"/>
      <c r="J20" s="9"/>
    </row>
    <row r="21" spans="1:12" ht="20.100000000000001" customHeight="1" x14ac:dyDescent="0.3">
      <c r="A21" s="153"/>
      <c r="B21" s="6" t="s">
        <v>619</v>
      </c>
      <c r="C21" s="43" t="s">
        <v>53</v>
      </c>
      <c r="D21" s="43" t="s">
        <v>48</v>
      </c>
      <c r="E21" s="43" t="s">
        <v>27</v>
      </c>
      <c r="F21" s="43" t="s">
        <v>15</v>
      </c>
      <c r="G21" s="43" t="s">
        <v>630</v>
      </c>
      <c r="H21" s="7">
        <f>CEILING(1242*USD,10)</f>
        <v>94710</v>
      </c>
      <c r="I21" s="8"/>
      <c r="J21" s="9"/>
    </row>
    <row r="22" spans="1:12" ht="20.100000000000001" customHeight="1" x14ac:dyDescent="0.3">
      <c r="A22" s="153"/>
      <c r="B22" s="6" t="s">
        <v>612</v>
      </c>
      <c r="C22" s="43" t="s">
        <v>53</v>
      </c>
      <c r="D22" s="43" t="s">
        <v>48</v>
      </c>
      <c r="E22" s="43" t="s">
        <v>224</v>
      </c>
      <c r="F22" s="43" t="s">
        <v>13</v>
      </c>
      <c r="G22" s="43" t="s">
        <v>630</v>
      </c>
      <c r="H22" s="7">
        <f>CEILING(915*USD,10)</f>
        <v>69770</v>
      </c>
      <c r="I22" s="8"/>
      <c r="J22" s="9"/>
    </row>
    <row r="23" spans="1:12" ht="20.100000000000001" customHeight="1" x14ac:dyDescent="0.3">
      <c r="A23" s="153"/>
      <c r="B23" s="6" t="s">
        <v>621</v>
      </c>
      <c r="C23" s="43" t="s">
        <v>53</v>
      </c>
      <c r="D23" s="43" t="s">
        <v>48</v>
      </c>
      <c r="E23" s="43" t="s">
        <v>224</v>
      </c>
      <c r="F23" s="43" t="s">
        <v>15</v>
      </c>
      <c r="G23" s="43" t="s">
        <v>630</v>
      </c>
      <c r="H23" s="7">
        <f>CEILING(1078*USD,10)</f>
        <v>82200</v>
      </c>
      <c r="I23" s="8"/>
      <c r="J23" s="9"/>
    </row>
    <row r="24" spans="1:12" ht="20.100000000000001" customHeight="1" x14ac:dyDescent="0.3">
      <c r="A24" s="153"/>
      <c r="B24" s="6" t="s">
        <v>611</v>
      </c>
      <c r="C24" s="43" t="s">
        <v>96</v>
      </c>
      <c r="D24" s="43" t="s">
        <v>48</v>
      </c>
      <c r="E24" s="43" t="s">
        <v>27</v>
      </c>
      <c r="F24" s="43" t="s">
        <v>13</v>
      </c>
      <c r="G24" s="43" t="s">
        <v>630</v>
      </c>
      <c r="H24" s="7">
        <f>CEILING(1264*USD,10)</f>
        <v>96380</v>
      </c>
      <c r="I24" s="8"/>
      <c r="J24" s="9"/>
    </row>
    <row r="25" spans="1:12" ht="20.100000000000001" customHeight="1" x14ac:dyDescent="0.3">
      <c r="A25" s="153"/>
      <c r="B25" s="6" t="s">
        <v>628</v>
      </c>
      <c r="C25" s="43" t="s">
        <v>96</v>
      </c>
      <c r="D25" s="43" t="s">
        <v>48</v>
      </c>
      <c r="E25" s="43" t="s">
        <v>27</v>
      </c>
      <c r="F25" s="43" t="s">
        <v>15</v>
      </c>
      <c r="G25" s="43" t="s">
        <v>630</v>
      </c>
      <c r="H25" s="7">
        <f>CEILING(1447*USD,10)</f>
        <v>110340</v>
      </c>
      <c r="I25" s="8"/>
      <c r="J25" s="9"/>
    </row>
    <row r="26" spans="1:12" ht="20.100000000000001" customHeight="1" x14ac:dyDescent="0.3">
      <c r="A26" s="153"/>
      <c r="B26" s="6" t="s">
        <v>620</v>
      </c>
      <c r="C26" s="43" t="s">
        <v>96</v>
      </c>
      <c r="D26" s="43" t="s">
        <v>48</v>
      </c>
      <c r="E26" s="43" t="s">
        <v>14</v>
      </c>
      <c r="F26" s="43" t="s">
        <v>15</v>
      </c>
      <c r="G26" s="43" t="s">
        <v>630</v>
      </c>
      <c r="H26" s="7">
        <f>CEILING(1521*USD,10)</f>
        <v>115980</v>
      </c>
      <c r="I26" s="8"/>
      <c r="J26" s="9"/>
    </row>
    <row r="27" spans="1:12" ht="20.100000000000001" customHeight="1" x14ac:dyDescent="0.3">
      <c r="A27" s="153"/>
      <c r="B27" s="6" t="s">
        <v>613</v>
      </c>
      <c r="C27" s="43" t="s">
        <v>97</v>
      </c>
      <c r="D27" s="43" t="s">
        <v>49</v>
      </c>
      <c r="E27" s="43" t="s">
        <v>27</v>
      </c>
      <c r="F27" s="43" t="s">
        <v>13</v>
      </c>
      <c r="G27" s="43" t="s">
        <v>630</v>
      </c>
      <c r="H27" s="7">
        <f>CEILING(977*USD,10)</f>
        <v>74500</v>
      </c>
      <c r="I27" s="8"/>
      <c r="J27" s="9"/>
    </row>
    <row r="28" spans="1:12" ht="20.100000000000001" customHeight="1" x14ac:dyDescent="0.3">
      <c r="A28" s="153"/>
      <c r="B28" s="6" t="s">
        <v>622</v>
      </c>
      <c r="C28" s="43" t="s">
        <v>97</v>
      </c>
      <c r="D28" s="43" t="s">
        <v>49</v>
      </c>
      <c r="E28" s="43" t="s">
        <v>27</v>
      </c>
      <c r="F28" s="43" t="s">
        <v>15</v>
      </c>
      <c r="G28" s="43" t="s">
        <v>630</v>
      </c>
      <c r="H28" s="7">
        <f>CEILING(1046*USD,10)</f>
        <v>79760</v>
      </c>
      <c r="I28" s="8"/>
      <c r="J28" s="9"/>
    </row>
    <row r="29" spans="1:12" ht="20.100000000000001" customHeight="1" x14ac:dyDescent="0.3">
      <c r="A29" s="153"/>
      <c r="B29" s="6" t="s">
        <v>614</v>
      </c>
      <c r="C29" s="43" t="s">
        <v>58</v>
      </c>
      <c r="D29" s="43" t="s">
        <v>49</v>
      </c>
      <c r="E29" s="43" t="s">
        <v>27</v>
      </c>
      <c r="F29" s="43" t="s">
        <v>13</v>
      </c>
      <c r="G29" s="43" t="s">
        <v>631</v>
      </c>
      <c r="H29" s="7">
        <f>CEILING(977*USD,10)</f>
        <v>74500</v>
      </c>
      <c r="I29" s="8"/>
      <c r="J29" s="9"/>
    </row>
    <row r="30" spans="1:12" ht="20.100000000000001" customHeight="1" x14ac:dyDescent="0.3">
      <c r="A30" s="153"/>
      <c r="B30" s="6" t="s">
        <v>623</v>
      </c>
      <c r="C30" s="43" t="s">
        <v>58</v>
      </c>
      <c r="D30" s="43" t="s">
        <v>49</v>
      </c>
      <c r="E30" s="43" t="s">
        <v>27</v>
      </c>
      <c r="F30" s="43" t="s">
        <v>15</v>
      </c>
      <c r="G30" s="43" t="s">
        <v>631</v>
      </c>
      <c r="H30" s="7">
        <f>CEILING(1093*USD,10)</f>
        <v>83350</v>
      </c>
      <c r="I30" s="8"/>
      <c r="J30" s="9"/>
      <c r="L30" s="12" t="s">
        <v>1719</v>
      </c>
    </row>
    <row r="31" spans="1:12" ht="20.100000000000001" customHeight="1" x14ac:dyDescent="0.3">
      <c r="A31" s="153"/>
      <c r="B31" s="6" t="s">
        <v>615</v>
      </c>
      <c r="C31" s="43" t="s">
        <v>99</v>
      </c>
      <c r="D31" s="43" t="s">
        <v>49</v>
      </c>
      <c r="E31" s="43" t="s">
        <v>27</v>
      </c>
      <c r="F31" s="43" t="s">
        <v>13</v>
      </c>
      <c r="G31" s="43" t="s">
        <v>631</v>
      </c>
      <c r="H31" s="7">
        <f>CEILING(1051*USD,10)</f>
        <v>80140</v>
      </c>
      <c r="I31" s="8"/>
      <c r="J31" s="9"/>
    </row>
    <row r="32" spans="1:12" ht="20.100000000000001" customHeight="1" x14ac:dyDescent="0.3">
      <c r="A32" s="153"/>
      <c r="B32" s="6" t="s">
        <v>624</v>
      </c>
      <c r="C32" s="43" t="s">
        <v>99</v>
      </c>
      <c r="D32" s="43" t="s">
        <v>49</v>
      </c>
      <c r="E32" s="43" t="s">
        <v>27</v>
      </c>
      <c r="F32" s="43" t="s">
        <v>15</v>
      </c>
      <c r="G32" s="43" t="s">
        <v>631</v>
      </c>
      <c r="H32" s="7">
        <f>CEILING(1210*USD,10)</f>
        <v>92270</v>
      </c>
      <c r="I32" s="8"/>
      <c r="J32" s="9"/>
    </row>
    <row r="33" spans="1:12" ht="20.100000000000001" customHeight="1" x14ac:dyDescent="0.3">
      <c r="A33" s="153"/>
      <c r="B33" s="6" t="s">
        <v>626</v>
      </c>
      <c r="C33" s="43" t="s">
        <v>99</v>
      </c>
      <c r="D33" s="43" t="s">
        <v>50</v>
      </c>
      <c r="E33" s="43" t="s">
        <v>224</v>
      </c>
      <c r="F33" s="43" t="s">
        <v>15</v>
      </c>
      <c r="G33" s="43" t="s">
        <v>631</v>
      </c>
      <c r="H33" s="7">
        <f>CEILING(1164*USD,10)</f>
        <v>88760</v>
      </c>
      <c r="I33" s="8"/>
      <c r="J33" s="9"/>
    </row>
    <row r="34" spans="1:12" ht="20.100000000000001" customHeight="1" x14ac:dyDescent="0.3">
      <c r="A34" s="153"/>
      <c r="B34" s="6" t="s">
        <v>616</v>
      </c>
      <c r="C34" s="43" t="s">
        <v>100</v>
      </c>
      <c r="D34" s="43" t="s">
        <v>49</v>
      </c>
      <c r="E34" s="43" t="s">
        <v>27</v>
      </c>
      <c r="F34" s="43" t="s">
        <v>13</v>
      </c>
      <c r="G34" s="43" t="s">
        <v>631</v>
      </c>
      <c r="H34" s="7">
        <f>CEILING(1293*USD,10)</f>
        <v>98600</v>
      </c>
      <c r="I34" s="8"/>
      <c r="J34" s="9"/>
    </row>
    <row r="35" spans="1:12" ht="20.100000000000001" customHeight="1" x14ac:dyDescent="0.3">
      <c r="A35" s="153"/>
      <c r="B35" s="6" t="s">
        <v>629</v>
      </c>
      <c r="C35" s="43" t="s">
        <v>100</v>
      </c>
      <c r="D35" s="43" t="s">
        <v>49</v>
      </c>
      <c r="E35" s="43" t="s">
        <v>27</v>
      </c>
      <c r="F35" s="43" t="s">
        <v>15</v>
      </c>
      <c r="G35" s="43" t="s">
        <v>631</v>
      </c>
      <c r="H35" s="7">
        <f>CEILING(1500*USD,10)</f>
        <v>114380</v>
      </c>
      <c r="I35" s="8"/>
      <c r="J35" s="9"/>
      <c r="L35" s="12" t="s">
        <v>1719</v>
      </c>
    </row>
    <row r="36" spans="1:12" ht="20.100000000000001" customHeight="1" x14ac:dyDescent="0.3">
      <c r="A36" s="153"/>
      <c r="B36" s="6" t="s">
        <v>625</v>
      </c>
      <c r="C36" s="43" t="s">
        <v>100</v>
      </c>
      <c r="D36" s="43" t="s">
        <v>49</v>
      </c>
      <c r="E36" s="43" t="s">
        <v>14</v>
      </c>
      <c r="F36" s="43" t="s">
        <v>15</v>
      </c>
      <c r="G36" s="43" t="s">
        <v>631</v>
      </c>
      <c r="H36" s="7">
        <f>CEILING(1490*USD,10)</f>
        <v>113620</v>
      </c>
      <c r="I36" s="8"/>
      <c r="J36" s="9"/>
    </row>
    <row r="37" spans="1:12" ht="20.100000000000001" customHeight="1" x14ac:dyDescent="0.3">
      <c r="A37" s="153"/>
      <c r="B37" s="6" t="s">
        <v>617</v>
      </c>
      <c r="C37" s="43" t="s">
        <v>101</v>
      </c>
      <c r="D37" s="43" t="s">
        <v>50</v>
      </c>
      <c r="E37" s="43" t="s">
        <v>27</v>
      </c>
      <c r="F37" s="43" t="s">
        <v>13</v>
      </c>
      <c r="G37" s="43" t="s">
        <v>631</v>
      </c>
      <c r="H37" s="7">
        <f>CEILING(1036*USD,10)</f>
        <v>79000</v>
      </c>
      <c r="I37" s="8"/>
      <c r="J37" s="9"/>
    </row>
    <row r="38" spans="1:12" ht="20.100000000000001" customHeight="1" x14ac:dyDescent="0.3">
      <c r="A38" s="153"/>
      <c r="B38" s="6" t="s">
        <v>627</v>
      </c>
      <c r="C38" s="43" t="s">
        <v>101</v>
      </c>
      <c r="D38" s="43" t="s">
        <v>50</v>
      </c>
      <c r="E38" s="43" t="s">
        <v>27</v>
      </c>
      <c r="F38" s="43" t="s">
        <v>15</v>
      </c>
      <c r="G38" s="43" t="s">
        <v>631</v>
      </c>
      <c r="H38" s="7">
        <f>CEILING(1176*USD,10)</f>
        <v>89670</v>
      </c>
      <c r="I38" s="8"/>
      <c r="J38" s="9"/>
    </row>
    <row r="39" spans="1:12" ht="20.100000000000001" customHeight="1" x14ac:dyDescent="0.3">
      <c r="A39" s="149"/>
      <c r="B39" s="149"/>
      <c r="C39" s="149"/>
      <c r="D39" s="149"/>
      <c r="E39" s="149"/>
      <c r="F39" s="149"/>
      <c r="G39" s="149"/>
      <c r="H39" s="149"/>
      <c r="I39" s="149"/>
      <c r="J39" s="149"/>
    </row>
    <row r="40" spans="1:12" ht="30" customHeight="1" x14ac:dyDescent="0.3">
      <c r="A40" s="140" t="s">
        <v>993</v>
      </c>
      <c r="B40" s="140"/>
      <c r="C40" s="140"/>
      <c r="D40" s="140"/>
      <c r="E40" s="140"/>
      <c r="F40" s="140"/>
      <c r="G40" s="140"/>
      <c r="H40" s="140"/>
      <c r="I40" s="140"/>
      <c r="J40" s="140"/>
    </row>
    <row r="41" spans="1:12" ht="30" customHeight="1" x14ac:dyDescent="0.3">
      <c r="A41" s="43"/>
      <c r="B41" s="38" t="s">
        <v>2</v>
      </c>
      <c r="C41" s="4" t="s">
        <v>42</v>
      </c>
      <c r="D41" s="4" t="s">
        <v>43</v>
      </c>
      <c r="E41" s="38" t="s">
        <v>9</v>
      </c>
      <c r="F41" s="38" t="s">
        <v>10</v>
      </c>
      <c r="G41" s="4" t="s">
        <v>11</v>
      </c>
      <c r="H41" s="4" t="s">
        <v>17</v>
      </c>
      <c r="I41" s="4"/>
      <c r="J41" s="4"/>
    </row>
    <row r="42" spans="1:12" ht="35.1" customHeight="1" x14ac:dyDescent="0.3">
      <c r="A42" s="152"/>
      <c r="B42" s="6" t="s">
        <v>632</v>
      </c>
      <c r="C42" s="43" t="s">
        <v>189</v>
      </c>
      <c r="D42" s="43" t="s">
        <v>184</v>
      </c>
      <c r="E42" s="43" t="s">
        <v>961</v>
      </c>
      <c r="F42" s="43" t="s">
        <v>13</v>
      </c>
      <c r="G42" s="15" t="s">
        <v>247</v>
      </c>
      <c r="H42" s="7">
        <f>CEILING(272*USD,10)</f>
        <v>20740</v>
      </c>
      <c r="I42" s="8"/>
      <c r="J42" s="9"/>
    </row>
    <row r="43" spans="1:12" ht="35.1" customHeight="1" x14ac:dyDescent="0.3">
      <c r="A43" s="153"/>
      <c r="B43" s="6" t="s">
        <v>633</v>
      </c>
      <c r="C43" s="43" t="s">
        <v>190</v>
      </c>
      <c r="D43" s="43" t="s">
        <v>49</v>
      </c>
      <c r="E43" s="43" t="s">
        <v>961</v>
      </c>
      <c r="F43" s="43" t="s">
        <v>13</v>
      </c>
      <c r="G43" s="15" t="s">
        <v>247</v>
      </c>
      <c r="H43" s="7">
        <f>CEILING(272*USD,10)</f>
        <v>20740</v>
      </c>
      <c r="I43" s="8"/>
      <c r="J43" s="9"/>
    </row>
    <row r="44" spans="1:12" ht="35.1" customHeight="1" x14ac:dyDescent="0.3">
      <c r="A44" s="153"/>
      <c r="B44" s="6" t="s">
        <v>634</v>
      </c>
      <c r="C44" s="43" t="s">
        <v>190</v>
      </c>
      <c r="D44" s="43" t="s">
        <v>184</v>
      </c>
      <c r="E44" s="43" t="s">
        <v>961</v>
      </c>
      <c r="F44" s="43" t="s">
        <v>13</v>
      </c>
      <c r="G44" s="15" t="s">
        <v>247</v>
      </c>
      <c r="H44" s="7">
        <f>CEILING(306*USD,10)</f>
        <v>23340</v>
      </c>
      <c r="I44" s="8"/>
      <c r="J44" s="9"/>
    </row>
    <row r="45" spans="1:12" ht="35.1" customHeight="1" x14ac:dyDescent="0.3">
      <c r="A45" s="153"/>
      <c r="B45" s="6" t="s">
        <v>635</v>
      </c>
      <c r="C45" s="43" t="s">
        <v>191</v>
      </c>
      <c r="D45" s="43" t="s">
        <v>185</v>
      </c>
      <c r="E45" s="43" t="s">
        <v>961</v>
      </c>
      <c r="F45" s="43" t="s">
        <v>13</v>
      </c>
      <c r="G45" s="15" t="s">
        <v>247</v>
      </c>
      <c r="H45" s="7">
        <f>CEILING(272*USD,10)</f>
        <v>20740</v>
      </c>
      <c r="I45" s="8"/>
      <c r="J45" s="9"/>
    </row>
    <row r="46" spans="1:12" ht="35.1" customHeight="1" x14ac:dyDescent="0.3">
      <c r="A46" s="153"/>
      <c r="B46" s="6" t="s">
        <v>636</v>
      </c>
      <c r="C46" s="43" t="s">
        <v>179</v>
      </c>
      <c r="D46" s="43" t="s">
        <v>186</v>
      </c>
      <c r="E46" s="43" t="s">
        <v>961</v>
      </c>
      <c r="F46" s="43" t="s">
        <v>13</v>
      </c>
      <c r="G46" s="15" t="s">
        <v>639</v>
      </c>
      <c r="H46" s="7">
        <f>CEILING(272*USD,10)</f>
        <v>20740</v>
      </c>
      <c r="I46" s="8"/>
      <c r="J46" s="9"/>
    </row>
    <row r="47" spans="1:12" ht="35.1" customHeight="1" x14ac:dyDescent="0.3">
      <c r="A47" s="153"/>
      <c r="B47" s="6" t="s">
        <v>637</v>
      </c>
      <c r="C47" s="43" t="s">
        <v>192</v>
      </c>
      <c r="D47" s="43" t="s">
        <v>50</v>
      </c>
      <c r="E47" s="43" t="s">
        <v>961</v>
      </c>
      <c r="F47" s="43" t="s">
        <v>13</v>
      </c>
      <c r="G47" s="15" t="s">
        <v>639</v>
      </c>
      <c r="H47" s="7">
        <f>CEILING(272*USD,10)</f>
        <v>20740</v>
      </c>
      <c r="I47" s="8"/>
      <c r="J47" s="9"/>
    </row>
    <row r="48" spans="1:12" ht="35.1" customHeight="1" x14ac:dyDescent="0.3">
      <c r="A48" s="153"/>
      <c r="B48" s="6" t="s">
        <v>638</v>
      </c>
      <c r="C48" s="43" t="s">
        <v>192</v>
      </c>
      <c r="D48" s="43" t="s">
        <v>186</v>
      </c>
      <c r="E48" s="43" t="s">
        <v>961</v>
      </c>
      <c r="F48" s="43" t="s">
        <v>13</v>
      </c>
      <c r="G48" s="15" t="s">
        <v>639</v>
      </c>
      <c r="H48" s="7">
        <f>CEILING(306*USD,10)</f>
        <v>23340</v>
      </c>
      <c r="I48" s="8"/>
      <c r="J48" s="9"/>
    </row>
    <row r="49" spans="1:10" ht="20.100000000000001" customHeight="1" x14ac:dyDescent="0.3">
      <c r="A49" s="149"/>
      <c r="B49" s="149"/>
      <c r="C49" s="149"/>
      <c r="D49" s="149"/>
      <c r="E49" s="149"/>
      <c r="F49" s="149"/>
      <c r="G49" s="149"/>
      <c r="H49" s="149"/>
      <c r="I49" s="149"/>
      <c r="J49" s="149"/>
    </row>
    <row r="50" spans="1:10" ht="30" customHeight="1" x14ac:dyDescent="0.3">
      <c r="A50" s="140" t="s">
        <v>1275</v>
      </c>
      <c r="B50" s="140"/>
      <c r="C50" s="140"/>
      <c r="D50" s="140"/>
      <c r="E50" s="140"/>
      <c r="F50" s="140"/>
      <c r="G50" s="140"/>
      <c r="H50" s="140"/>
      <c r="I50" s="140"/>
      <c r="J50" s="140"/>
    </row>
    <row r="51" spans="1:10" ht="30" customHeight="1" x14ac:dyDescent="0.3">
      <c r="A51" s="53"/>
      <c r="B51" s="38" t="s">
        <v>2</v>
      </c>
      <c r="C51" s="4" t="s">
        <v>42</v>
      </c>
      <c r="D51" s="4" t="s">
        <v>43</v>
      </c>
      <c r="E51" s="38" t="s">
        <v>9</v>
      </c>
      <c r="F51" s="38" t="s">
        <v>10</v>
      </c>
      <c r="G51" s="4" t="s">
        <v>11</v>
      </c>
      <c r="H51" s="4" t="s">
        <v>17</v>
      </c>
      <c r="I51" s="4"/>
      <c r="J51" s="4"/>
    </row>
    <row r="52" spans="1:10" ht="24.9" customHeight="1" x14ac:dyDescent="0.3">
      <c r="A52" s="147"/>
      <c r="B52" s="6" t="s">
        <v>1276</v>
      </c>
      <c r="C52" s="53" t="s">
        <v>190</v>
      </c>
      <c r="D52" s="53" t="s">
        <v>184</v>
      </c>
      <c r="E52" s="53" t="s">
        <v>27</v>
      </c>
      <c r="F52" s="53" t="s">
        <v>13</v>
      </c>
      <c r="G52" s="53" t="s">
        <v>1282</v>
      </c>
      <c r="H52" s="25">
        <f>CEILING(280*USD,10)</f>
        <v>21350</v>
      </c>
      <c r="I52" s="8"/>
      <c r="J52" s="9"/>
    </row>
    <row r="53" spans="1:10" ht="24.9" customHeight="1" x14ac:dyDescent="0.3">
      <c r="A53" s="147"/>
      <c r="B53" s="6" t="s">
        <v>1277</v>
      </c>
      <c r="C53" s="53" t="s">
        <v>191</v>
      </c>
      <c r="D53" s="53" t="s">
        <v>49</v>
      </c>
      <c r="E53" s="53" t="s">
        <v>27</v>
      </c>
      <c r="F53" s="53" t="s">
        <v>13</v>
      </c>
      <c r="G53" s="53" t="s">
        <v>1282</v>
      </c>
      <c r="H53" s="25">
        <f>CEILING(280*USD,10)</f>
        <v>21350</v>
      </c>
      <c r="I53" s="8"/>
      <c r="J53" s="9"/>
    </row>
    <row r="54" spans="1:10" ht="24.9" customHeight="1" x14ac:dyDescent="0.3">
      <c r="A54" s="147"/>
      <c r="B54" s="6" t="s">
        <v>1278</v>
      </c>
      <c r="C54" s="53" t="s">
        <v>179</v>
      </c>
      <c r="D54" s="53" t="s">
        <v>185</v>
      </c>
      <c r="E54" s="53" t="s">
        <v>27</v>
      </c>
      <c r="F54" s="53" t="s">
        <v>13</v>
      </c>
      <c r="G54" s="15" t="s">
        <v>1283</v>
      </c>
      <c r="H54" s="25">
        <f>CEILING(280*USD,10)</f>
        <v>21350</v>
      </c>
      <c r="I54" s="8"/>
      <c r="J54" s="9"/>
    </row>
    <row r="55" spans="1:10" ht="24.9" customHeight="1" x14ac:dyDescent="0.3">
      <c r="A55" s="147"/>
      <c r="B55" s="6" t="s">
        <v>1279</v>
      </c>
      <c r="C55" s="53" t="s">
        <v>192</v>
      </c>
      <c r="D55" s="53" t="s">
        <v>186</v>
      </c>
      <c r="E55" s="53" t="s">
        <v>27</v>
      </c>
      <c r="F55" s="53" t="s">
        <v>13</v>
      </c>
      <c r="G55" s="15" t="s">
        <v>1283</v>
      </c>
      <c r="H55" s="25">
        <f>CEILING(280*USD,10)</f>
        <v>21350</v>
      </c>
      <c r="I55" s="8"/>
      <c r="J55" s="9"/>
    </row>
    <row r="56" spans="1:10" ht="24.9" customHeight="1" x14ac:dyDescent="0.3">
      <c r="A56" s="147"/>
      <c r="B56" s="6" t="s">
        <v>1280</v>
      </c>
      <c r="C56" s="53" t="s">
        <v>176</v>
      </c>
      <c r="D56" s="53" t="s">
        <v>50</v>
      </c>
      <c r="E56" s="53" t="s">
        <v>27</v>
      </c>
      <c r="F56" s="53" t="s">
        <v>13</v>
      </c>
      <c r="G56" s="15" t="s">
        <v>1283</v>
      </c>
      <c r="H56" s="25">
        <f>CEILING(280*USD,10)</f>
        <v>21350</v>
      </c>
      <c r="I56" s="8"/>
      <c r="J56" s="9"/>
    </row>
    <row r="57" spans="1:10" ht="20.100000000000001" customHeight="1" x14ac:dyDescent="0.3">
      <c r="A57" s="159" t="s">
        <v>67</v>
      </c>
      <c r="B57" s="159"/>
      <c r="C57" s="159"/>
      <c r="D57" s="159"/>
      <c r="E57" s="159"/>
      <c r="F57" s="159"/>
      <c r="G57" s="159"/>
      <c r="H57" s="159"/>
      <c r="I57" s="159"/>
      <c r="J57" s="159"/>
    </row>
    <row r="58" spans="1:10" ht="20.100000000000001" customHeight="1" x14ac:dyDescent="0.3">
      <c r="A58" s="181" t="s">
        <v>1281</v>
      </c>
      <c r="B58" s="182"/>
      <c r="C58" s="182"/>
      <c r="D58" s="182"/>
      <c r="E58" s="182"/>
      <c r="F58" s="182"/>
      <c r="G58" s="183"/>
      <c r="H58" s="25">
        <f>CEILING(61*USD,10)</f>
        <v>4660</v>
      </c>
      <c r="I58" s="8"/>
      <c r="J58" s="9"/>
    </row>
    <row r="59" spans="1:10" ht="20.100000000000001" customHeight="1" x14ac:dyDescent="0.3">
      <c r="A59" s="149"/>
      <c r="B59" s="149"/>
      <c r="C59" s="149"/>
      <c r="D59" s="149"/>
      <c r="E59" s="149"/>
      <c r="F59" s="149"/>
      <c r="G59" s="149"/>
      <c r="H59" s="149"/>
      <c r="I59" s="149"/>
      <c r="J59" s="149"/>
    </row>
    <row r="60" spans="1:10" ht="30" customHeight="1" x14ac:dyDescent="0.3">
      <c r="A60" s="140" t="s">
        <v>1051</v>
      </c>
      <c r="B60" s="140"/>
      <c r="C60" s="140"/>
      <c r="D60" s="140"/>
      <c r="E60" s="140"/>
      <c r="F60" s="140"/>
      <c r="G60" s="140"/>
      <c r="H60" s="140"/>
      <c r="I60" s="140"/>
      <c r="J60" s="140"/>
    </row>
    <row r="61" spans="1:10" ht="30" customHeight="1" x14ac:dyDescent="0.3">
      <c r="A61" s="43"/>
      <c r="B61" s="38" t="s">
        <v>2</v>
      </c>
      <c r="C61" s="4" t="s">
        <v>42</v>
      </c>
      <c r="D61" s="4" t="s">
        <v>43</v>
      </c>
      <c r="E61" s="38" t="s">
        <v>9</v>
      </c>
      <c r="F61" s="38" t="s">
        <v>10</v>
      </c>
      <c r="G61" s="4" t="s">
        <v>11</v>
      </c>
      <c r="H61" s="4" t="s">
        <v>17</v>
      </c>
      <c r="I61" s="4"/>
      <c r="J61" s="4"/>
    </row>
    <row r="62" spans="1:10" ht="30" customHeight="1" x14ac:dyDescent="0.3">
      <c r="A62" s="147"/>
      <c r="B62" s="6" t="s">
        <v>640</v>
      </c>
      <c r="C62" s="43" t="s">
        <v>46</v>
      </c>
      <c r="D62" s="43" t="s">
        <v>48</v>
      </c>
      <c r="E62" s="43" t="s">
        <v>961</v>
      </c>
      <c r="F62" s="43" t="s">
        <v>13</v>
      </c>
      <c r="G62" s="15" t="s">
        <v>644</v>
      </c>
      <c r="H62" s="25">
        <f>CEILING(711*USD,10)</f>
        <v>54220</v>
      </c>
      <c r="I62" s="8"/>
      <c r="J62" s="9"/>
    </row>
    <row r="63" spans="1:10" ht="30" customHeight="1" x14ac:dyDescent="0.3">
      <c r="A63" s="147"/>
      <c r="B63" s="6" t="s">
        <v>641</v>
      </c>
      <c r="C63" s="43" t="s">
        <v>52</v>
      </c>
      <c r="D63" s="43" t="s">
        <v>48</v>
      </c>
      <c r="E63" s="43" t="s">
        <v>961</v>
      </c>
      <c r="F63" s="43" t="s">
        <v>13</v>
      </c>
      <c r="G63" s="15" t="s">
        <v>644</v>
      </c>
      <c r="H63" s="25">
        <f>CEILING(757*USD,10)</f>
        <v>57730</v>
      </c>
      <c r="I63" s="8"/>
      <c r="J63" s="9"/>
    </row>
    <row r="64" spans="1:10" ht="30" customHeight="1" x14ac:dyDescent="0.3">
      <c r="A64" s="147"/>
      <c r="B64" s="6" t="s">
        <v>642</v>
      </c>
      <c r="C64" s="43" t="s">
        <v>58</v>
      </c>
      <c r="D64" s="43" t="s">
        <v>49</v>
      </c>
      <c r="E64" s="43" t="s">
        <v>961</v>
      </c>
      <c r="F64" s="43" t="s">
        <v>13</v>
      </c>
      <c r="G64" s="15" t="s">
        <v>645</v>
      </c>
      <c r="H64" s="25">
        <f>CEILING(711*USD,10)</f>
        <v>54220</v>
      </c>
      <c r="I64" s="8"/>
      <c r="J64" s="9"/>
    </row>
    <row r="65" spans="1:10" ht="30" customHeight="1" x14ac:dyDescent="0.3">
      <c r="A65" s="147"/>
      <c r="B65" s="6" t="s">
        <v>643</v>
      </c>
      <c r="C65" s="43" t="s">
        <v>98</v>
      </c>
      <c r="D65" s="43" t="s">
        <v>49</v>
      </c>
      <c r="E65" s="43" t="s">
        <v>961</v>
      </c>
      <c r="F65" s="43" t="s">
        <v>13</v>
      </c>
      <c r="G65" s="15" t="s">
        <v>645</v>
      </c>
      <c r="H65" s="25">
        <f>CEILING(757*USD,10)</f>
        <v>57730</v>
      </c>
      <c r="I65" s="8"/>
      <c r="J65" s="9"/>
    </row>
    <row r="66" spans="1:10" ht="20.100000000000001" customHeight="1" x14ac:dyDescent="0.3">
      <c r="A66" s="149"/>
      <c r="B66" s="149"/>
      <c r="C66" s="149"/>
      <c r="D66" s="149"/>
      <c r="E66" s="149"/>
      <c r="F66" s="149"/>
      <c r="G66" s="149"/>
      <c r="H66" s="149"/>
      <c r="I66" s="149"/>
      <c r="J66" s="149"/>
    </row>
    <row r="67" spans="1:10" ht="30" customHeight="1" x14ac:dyDescent="0.3">
      <c r="A67" s="140" t="s">
        <v>1052</v>
      </c>
      <c r="B67" s="140"/>
      <c r="C67" s="140"/>
      <c r="D67" s="140"/>
      <c r="E67" s="140"/>
      <c r="F67" s="140"/>
      <c r="G67" s="140"/>
      <c r="H67" s="140"/>
      <c r="I67" s="140"/>
      <c r="J67" s="140"/>
    </row>
    <row r="68" spans="1:10" ht="30" customHeight="1" x14ac:dyDescent="0.3">
      <c r="A68" s="43"/>
      <c r="B68" s="38" t="s">
        <v>2</v>
      </c>
      <c r="C68" s="4" t="s">
        <v>42</v>
      </c>
      <c r="D68" s="4" t="s">
        <v>43</v>
      </c>
      <c r="E68" s="38" t="s">
        <v>9</v>
      </c>
      <c r="F68" s="38" t="s">
        <v>10</v>
      </c>
      <c r="G68" s="4" t="s">
        <v>11</v>
      </c>
      <c r="H68" s="4" t="s">
        <v>17</v>
      </c>
      <c r="I68" s="4"/>
      <c r="J68" s="4"/>
    </row>
    <row r="69" spans="1:10" ht="24.9" customHeight="1" x14ac:dyDescent="0.3">
      <c r="A69" s="147"/>
      <c r="B69" s="6" t="s">
        <v>649</v>
      </c>
      <c r="C69" s="43" t="s">
        <v>651</v>
      </c>
      <c r="D69" s="43" t="s">
        <v>51</v>
      </c>
      <c r="E69" s="43" t="s">
        <v>961</v>
      </c>
      <c r="F69" s="43" t="s">
        <v>13</v>
      </c>
      <c r="G69" s="15" t="s">
        <v>653</v>
      </c>
      <c r="H69" s="25">
        <f>CEILING(1879*USD,10)</f>
        <v>143280</v>
      </c>
      <c r="I69" s="8"/>
      <c r="J69" s="9"/>
    </row>
    <row r="70" spans="1:10" ht="24.9" customHeight="1" x14ac:dyDescent="0.3">
      <c r="A70" s="147"/>
      <c r="B70" s="6" t="s">
        <v>650</v>
      </c>
      <c r="C70" s="43" t="s">
        <v>652</v>
      </c>
      <c r="D70" s="43" t="s">
        <v>51</v>
      </c>
      <c r="E70" s="43" t="s">
        <v>961</v>
      </c>
      <c r="F70" s="43" t="s">
        <v>13</v>
      </c>
      <c r="G70" s="15" t="s">
        <v>653</v>
      </c>
      <c r="H70" s="25">
        <f>CEILING(2009*USD,10)</f>
        <v>153190</v>
      </c>
      <c r="I70" s="8"/>
      <c r="J70" s="9"/>
    </row>
    <row r="71" spans="1:10" ht="24.9" customHeight="1" x14ac:dyDescent="0.3">
      <c r="A71" s="147"/>
      <c r="B71" s="6" t="s">
        <v>646</v>
      </c>
      <c r="C71" s="43" t="s">
        <v>102</v>
      </c>
      <c r="D71" s="43" t="s">
        <v>50</v>
      </c>
      <c r="E71" s="43" t="s">
        <v>961</v>
      </c>
      <c r="F71" s="43" t="s">
        <v>13</v>
      </c>
      <c r="G71" s="15" t="s">
        <v>653</v>
      </c>
      <c r="H71" s="25">
        <f>CEILING(1825*USD,10)</f>
        <v>139160</v>
      </c>
      <c r="I71" s="8"/>
      <c r="J71" s="9"/>
    </row>
    <row r="72" spans="1:10" ht="24.9" customHeight="1" x14ac:dyDescent="0.3">
      <c r="A72" s="147"/>
      <c r="B72" s="6" t="s">
        <v>647</v>
      </c>
      <c r="C72" s="43" t="s">
        <v>161</v>
      </c>
      <c r="D72" s="43" t="s">
        <v>50</v>
      </c>
      <c r="E72" s="43" t="s">
        <v>961</v>
      </c>
      <c r="F72" s="43" t="s">
        <v>13</v>
      </c>
      <c r="G72" s="15" t="s">
        <v>653</v>
      </c>
      <c r="H72" s="25">
        <f>CEILING(1913*USD,10)</f>
        <v>145870</v>
      </c>
      <c r="I72" s="8"/>
      <c r="J72" s="9"/>
    </row>
    <row r="73" spans="1:10" ht="24.9" customHeight="1" x14ac:dyDescent="0.3">
      <c r="A73" s="147"/>
      <c r="B73" s="6" t="s">
        <v>648</v>
      </c>
      <c r="C73" s="43" t="s">
        <v>651</v>
      </c>
      <c r="D73" s="43" t="s">
        <v>50</v>
      </c>
      <c r="E73" s="43" t="s">
        <v>961</v>
      </c>
      <c r="F73" s="43" t="s">
        <v>13</v>
      </c>
      <c r="G73" s="15" t="s">
        <v>653</v>
      </c>
      <c r="H73" s="25">
        <f>CEILING(2071*USD,10)</f>
        <v>157920</v>
      </c>
      <c r="I73" s="8"/>
      <c r="J73" s="9"/>
    </row>
    <row r="74" spans="1:10" ht="20.100000000000001" customHeight="1" x14ac:dyDescent="0.3">
      <c r="A74" s="149"/>
      <c r="B74" s="149"/>
      <c r="C74" s="149"/>
      <c r="D74" s="149"/>
      <c r="E74" s="149"/>
      <c r="F74" s="149"/>
      <c r="G74" s="149"/>
      <c r="H74" s="149"/>
      <c r="I74" s="149"/>
      <c r="J74" s="149"/>
    </row>
    <row r="75" spans="1:10" ht="30" customHeight="1" x14ac:dyDescent="0.3">
      <c r="A75" s="140" t="s">
        <v>1053</v>
      </c>
      <c r="B75" s="140"/>
      <c r="C75" s="140"/>
      <c r="D75" s="140"/>
      <c r="E75" s="140"/>
      <c r="F75" s="140"/>
      <c r="G75" s="140"/>
      <c r="H75" s="140"/>
      <c r="I75" s="140"/>
      <c r="J75" s="140"/>
    </row>
    <row r="76" spans="1:10" ht="30" customHeight="1" x14ac:dyDescent="0.3">
      <c r="A76" s="43"/>
      <c r="B76" s="38" t="s">
        <v>2</v>
      </c>
      <c r="C76" s="4" t="s">
        <v>42</v>
      </c>
      <c r="D76" s="4" t="s">
        <v>43</v>
      </c>
      <c r="E76" s="38" t="s">
        <v>9</v>
      </c>
      <c r="F76" s="38" t="s">
        <v>10</v>
      </c>
      <c r="G76" s="4" t="s">
        <v>11</v>
      </c>
      <c r="H76" s="4" t="s">
        <v>17</v>
      </c>
      <c r="I76" s="4"/>
      <c r="J76" s="4"/>
    </row>
    <row r="77" spans="1:10" ht="60" customHeight="1" x14ac:dyDescent="0.3">
      <c r="A77" s="147"/>
      <c r="B77" s="6" t="s">
        <v>1054</v>
      </c>
      <c r="C77" s="43" t="s">
        <v>347</v>
      </c>
      <c r="D77" s="43" t="s">
        <v>186</v>
      </c>
      <c r="E77" s="43" t="s">
        <v>950</v>
      </c>
      <c r="F77" s="43" t="s">
        <v>13</v>
      </c>
      <c r="G77" s="15" t="s">
        <v>1056</v>
      </c>
      <c r="H77" s="25">
        <f>CEILING(68*USD,10)</f>
        <v>5190</v>
      </c>
      <c r="I77" s="8"/>
      <c r="J77" s="9"/>
    </row>
    <row r="78" spans="1:10" ht="60" customHeight="1" x14ac:dyDescent="0.3">
      <c r="A78" s="147"/>
      <c r="B78" s="6" t="s">
        <v>1055</v>
      </c>
      <c r="C78" s="43" t="s">
        <v>211</v>
      </c>
      <c r="D78" s="43" t="s">
        <v>50</v>
      </c>
      <c r="E78" s="43" t="s">
        <v>950</v>
      </c>
      <c r="F78" s="43" t="s">
        <v>13</v>
      </c>
      <c r="G78" s="15" t="s">
        <v>1056</v>
      </c>
      <c r="H78" s="25">
        <f>CEILING(68*USD,10)</f>
        <v>5190</v>
      </c>
      <c r="I78" s="8"/>
      <c r="J78" s="9"/>
    </row>
    <row r="79" spans="1:10" ht="20.100000000000001" customHeight="1" x14ac:dyDescent="0.3">
      <c r="A79" s="149"/>
      <c r="B79" s="149"/>
      <c r="C79" s="149"/>
      <c r="D79" s="149"/>
      <c r="E79" s="149"/>
      <c r="F79" s="149"/>
      <c r="G79" s="149"/>
      <c r="H79" s="149"/>
      <c r="I79" s="149"/>
      <c r="J79" s="149"/>
    </row>
    <row r="80" spans="1:10" ht="39.9" customHeight="1" x14ac:dyDescent="0.3">
      <c r="A80" s="139" t="s">
        <v>1937</v>
      </c>
      <c r="B80" s="140"/>
      <c r="C80" s="140"/>
      <c r="D80" s="140"/>
      <c r="E80" s="140"/>
      <c r="F80" s="140"/>
      <c r="G80" s="140"/>
      <c r="H80" s="140"/>
      <c r="I80" s="140"/>
      <c r="J80" s="140"/>
    </row>
    <row r="81" spans="1:12" ht="30" customHeight="1" x14ac:dyDescent="0.3">
      <c r="A81" s="131"/>
      <c r="B81" s="38" t="s">
        <v>2</v>
      </c>
      <c r="C81" s="4" t="s">
        <v>42</v>
      </c>
      <c r="D81" s="4" t="s">
        <v>43</v>
      </c>
      <c r="E81" s="38" t="s">
        <v>9</v>
      </c>
      <c r="F81" s="38" t="s">
        <v>10</v>
      </c>
      <c r="G81" s="4" t="s">
        <v>11</v>
      </c>
      <c r="H81" s="4" t="s">
        <v>17</v>
      </c>
      <c r="I81" s="4"/>
      <c r="J81" s="4"/>
    </row>
    <row r="82" spans="1:12" ht="39.9" customHeight="1" x14ac:dyDescent="0.3">
      <c r="A82" s="147"/>
      <c r="B82" s="72" t="s">
        <v>1938</v>
      </c>
      <c r="C82" s="131" t="s">
        <v>214</v>
      </c>
      <c r="D82" s="131" t="s">
        <v>217</v>
      </c>
      <c r="E82" s="131" t="s">
        <v>224</v>
      </c>
      <c r="F82" s="131" t="s">
        <v>13</v>
      </c>
      <c r="G82" s="15" t="s">
        <v>1941</v>
      </c>
      <c r="H82" s="25">
        <f>CEILING(127*USD,10)</f>
        <v>9690</v>
      </c>
      <c r="I82" s="8"/>
      <c r="J82" s="9"/>
      <c r="L82" s="12"/>
    </row>
    <row r="83" spans="1:12" ht="39.9" customHeight="1" x14ac:dyDescent="0.3">
      <c r="A83" s="147"/>
      <c r="B83" s="72" t="s">
        <v>1939</v>
      </c>
      <c r="C83" s="131" t="s">
        <v>213</v>
      </c>
      <c r="D83" s="131" t="s">
        <v>218</v>
      </c>
      <c r="E83" s="131" t="s">
        <v>224</v>
      </c>
      <c r="F83" s="131" t="s">
        <v>13</v>
      </c>
      <c r="G83" s="15" t="s">
        <v>1941</v>
      </c>
      <c r="H83" s="25">
        <f>CEILING(127*USD,10)</f>
        <v>9690</v>
      </c>
      <c r="I83" s="8"/>
      <c r="J83" s="9"/>
      <c r="L83" s="12"/>
    </row>
    <row r="84" spans="1:12" ht="39.9" customHeight="1" x14ac:dyDescent="0.3">
      <c r="A84" s="147"/>
      <c r="B84" s="72" t="s">
        <v>1940</v>
      </c>
      <c r="C84" s="131" t="s">
        <v>215</v>
      </c>
      <c r="D84" s="131" t="s">
        <v>219</v>
      </c>
      <c r="E84" s="131" t="s">
        <v>224</v>
      </c>
      <c r="F84" s="131" t="s">
        <v>13</v>
      </c>
      <c r="G84" s="15" t="s">
        <v>1941</v>
      </c>
      <c r="H84" s="25">
        <f>CEILING(127*USD,10)</f>
        <v>9690</v>
      </c>
      <c r="I84" s="8"/>
      <c r="J84" s="9"/>
      <c r="L84" s="12"/>
    </row>
    <row r="85" spans="1:12" ht="20.100000000000001" customHeight="1" x14ac:dyDescent="0.3">
      <c r="A85" s="149"/>
      <c r="B85" s="149"/>
      <c r="C85" s="149"/>
      <c r="D85" s="149"/>
      <c r="E85" s="149"/>
      <c r="F85" s="149"/>
      <c r="G85" s="149"/>
      <c r="H85" s="149"/>
      <c r="I85" s="149"/>
      <c r="J85" s="149"/>
    </row>
    <row r="86" spans="1:12" ht="30" customHeight="1" x14ac:dyDescent="0.3">
      <c r="A86" s="140" t="s">
        <v>1132</v>
      </c>
      <c r="B86" s="140"/>
      <c r="C86" s="140"/>
      <c r="D86" s="140"/>
      <c r="E86" s="140"/>
      <c r="F86" s="140"/>
      <c r="G86" s="140"/>
      <c r="H86" s="140"/>
      <c r="I86" s="140"/>
      <c r="J86" s="140"/>
    </row>
    <row r="87" spans="1:12" ht="30" customHeight="1" x14ac:dyDescent="0.3">
      <c r="A87" s="43"/>
      <c r="B87" s="38" t="s">
        <v>2</v>
      </c>
      <c r="C87" s="4" t="s">
        <v>42</v>
      </c>
      <c r="D87" s="4" t="s">
        <v>43</v>
      </c>
      <c r="E87" s="38" t="s">
        <v>9</v>
      </c>
      <c r="F87" s="38" t="s">
        <v>10</v>
      </c>
      <c r="G87" s="4" t="s">
        <v>11</v>
      </c>
      <c r="H87" s="4" t="s">
        <v>17</v>
      </c>
      <c r="I87" s="4"/>
      <c r="J87" s="4"/>
    </row>
    <row r="88" spans="1:12" ht="30" customHeight="1" x14ac:dyDescent="0.3">
      <c r="A88" s="147"/>
      <c r="B88" s="6" t="s">
        <v>654</v>
      </c>
      <c r="C88" s="43" t="s">
        <v>500</v>
      </c>
      <c r="D88" s="43" t="s">
        <v>222</v>
      </c>
      <c r="E88" s="43" t="s">
        <v>224</v>
      </c>
      <c r="F88" s="43" t="s">
        <v>13</v>
      </c>
      <c r="G88" s="15" t="s">
        <v>658</v>
      </c>
      <c r="H88" s="25">
        <f>CEILING(277*USD,10)</f>
        <v>21130</v>
      </c>
      <c r="I88" s="8"/>
      <c r="J88" s="9"/>
      <c r="L88" s="12" t="s">
        <v>1812</v>
      </c>
    </row>
    <row r="89" spans="1:12" ht="30" customHeight="1" x14ac:dyDescent="0.3">
      <c r="A89" s="147"/>
      <c r="B89" s="6" t="s">
        <v>655</v>
      </c>
      <c r="C89" s="43" t="s">
        <v>523</v>
      </c>
      <c r="D89" s="43" t="s">
        <v>51</v>
      </c>
      <c r="E89" s="43" t="s">
        <v>224</v>
      </c>
      <c r="F89" s="43" t="s">
        <v>13</v>
      </c>
      <c r="G89" s="15" t="s">
        <v>658</v>
      </c>
      <c r="H89" s="25">
        <f>CEILING(277*USD,10)</f>
        <v>21130</v>
      </c>
      <c r="I89" s="8"/>
      <c r="J89" s="9"/>
      <c r="L89" s="12" t="s">
        <v>1812</v>
      </c>
    </row>
    <row r="90" spans="1:12" ht="30" customHeight="1" x14ac:dyDescent="0.3">
      <c r="A90" s="147"/>
      <c r="B90" s="6" t="s">
        <v>656</v>
      </c>
      <c r="C90" s="43" t="s">
        <v>62</v>
      </c>
      <c r="D90" s="43" t="s">
        <v>196</v>
      </c>
      <c r="E90" s="43" t="s">
        <v>224</v>
      </c>
      <c r="F90" s="43" t="s">
        <v>13</v>
      </c>
      <c r="G90" s="15" t="s">
        <v>658</v>
      </c>
      <c r="H90" s="25">
        <f>CEILING(277*USD,10)</f>
        <v>21130</v>
      </c>
      <c r="I90" s="8"/>
      <c r="J90" s="9"/>
      <c r="L90" s="12" t="s">
        <v>1812</v>
      </c>
    </row>
    <row r="91" spans="1:12" ht="30" customHeight="1" x14ac:dyDescent="0.3">
      <c r="A91" s="147"/>
      <c r="B91" s="6" t="s">
        <v>657</v>
      </c>
      <c r="C91" s="43" t="s">
        <v>177</v>
      </c>
      <c r="D91" s="43" t="s">
        <v>180</v>
      </c>
      <c r="E91" s="43" t="s">
        <v>224</v>
      </c>
      <c r="F91" s="43" t="s">
        <v>13</v>
      </c>
      <c r="G91" s="15" t="s">
        <v>658</v>
      </c>
      <c r="H91" s="25">
        <f>CEILING(277*USD,10)</f>
        <v>21130</v>
      </c>
      <c r="I91" s="8"/>
      <c r="J91" s="9"/>
      <c r="L91" s="12" t="s">
        <v>1812</v>
      </c>
    </row>
    <row r="92" spans="1:12" ht="20.100000000000001" customHeight="1" x14ac:dyDescent="0.3">
      <c r="A92" s="149"/>
      <c r="B92" s="149"/>
      <c r="C92" s="149"/>
      <c r="D92" s="149"/>
      <c r="E92" s="149"/>
      <c r="F92" s="149"/>
      <c r="G92" s="149"/>
      <c r="H92" s="149"/>
      <c r="I92" s="149"/>
      <c r="J92" s="149"/>
    </row>
    <row r="93" spans="1:12" ht="30" customHeight="1" x14ac:dyDescent="0.3">
      <c r="A93" s="140" t="s">
        <v>1057</v>
      </c>
      <c r="B93" s="140"/>
      <c r="C93" s="140"/>
      <c r="D93" s="140"/>
      <c r="E93" s="140"/>
      <c r="F93" s="140"/>
      <c r="G93" s="140"/>
      <c r="H93" s="140"/>
      <c r="I93" s="140"/>
      <c r="J93" s="140"/>
    </row>
    <row r="94" spans="1:12" ht="30" customHeight="1" x14ac:dyDescent="0.3">
      <c r="A94" s="43"/>
      <c r="B94" s="38" t="s">
        <v>2</v>
      </c>
      <c r="C94" s="4" t="s">
        <v>42</v>
      </c>
      <c r="D94" s="4" t="s">
        <v>43</v>
      </c>
      <c r="E94" s="38" t="s">
        <v>9</v>
      </c>
      <c r="F94" s="38" t="s">
        <v>10</v>
      </c>
      <c r="G94" s="4" t="s">
        <v>11</v>
      </c>
      <c r="H94" s="4" t="s">
        <v>17</v>
      </c>
      <c r="I94" s="4"/>
      <c r="J94" s="4"/>
    </row>
    <row r="95" spans="1:12" ht="20.100000000000001" customHeight="1" x14ac:dyDescent="0.3">
      <c r="A95" s="147"/>
      <c r="B95" s="6" t="s">
        <v>659</v>
      </c>
      <c r="C95" s="43" t="s">
        <v>666</v>
      </c>
      <c r="D95" s="43" t="s">
        <v>222</v>
      </c>
      <c r="E95" s="43" t="s">
        <v>224</v>
      </c>
      <c r="F95" s="43" t="s">
        <v>13</v>
      </c>
      <c r="G95" s="15" t="s">
        <v>667</v>
      </c>
      <c r="H95" s="25">
        <f>CEILING(179*USD,10)</f>
        <v>13650</v>
      </c>
      <c r="I95" s="8"/>
      <c r="J95" s="9"/>
      <c r="L95" s="12" t="s">
        <v>1723</v>
      </c>
    </row>
    <row r="96" spans="1:12" ht="20.100000000000001" customHeight="1" x14ac:dyDescent="0.3">
      <c r="A96" s="147"/>
      <c r="B96" s="6" t="s">
        <v>660</v>
      </c>
      <c r="C96" s="43" t="s">
        <v>220</v>
      </c>
      <c r="D96" s="43" t="s">
        <v>51</v>
      </c>
      <c r="E96" s="43" t="s">
        <v>224</v>
      </c>
      <c r="F96" s="43" t="s">
        <v>13</v>
      </c>
      <c r="G96" s="15" t="s">
        <v>667</v>
      </c>
      <c r="H96" s="25">
        <f>CEILING(179*USD,10)</f>
        <v>13650</v>
      </c>
      <c r="I96" s="8"/>
      <c r="J96" s="9"/>
      <c r="L96" s="12" t="s">
        <v>1723</v>
      </c>
    </row>
    <row r="97" spans="1:12" ht="20.100000000000001" customHeight="1" x14ac:dyDescent="0.3">
      <c r="A97" s="147"/>
      <c r="B97" s="6" t="s">
        <v>661</v>
      </c>
      <c r="C97" s="43" t="s">
        <v>220</v>
      </c>
      <c r="D97" s="43" t="s">
        <v>222</v>
      </c>
      <c r="E97" s="43" t="s">
        <v>224</v>
      </c>
      <c r="F97" s="43" t="s">
        <v>13</v>
      </c>
      <c r="G97" s="15" t="s">
        <v>667</v>
      </c>
      <c r="H97" s="25">
        <f>CEILING(262*USD,10)</f>
        <v>19980</v>
      </c>
      <c r="I97" s="8"/>
      <c r="J97" s="9"/>
      <c r="L97" s="12" t="s">
        <v>1723</v>
      </c>
    </row>
    <row r="98" spans="1:12" ht="20.100000000000001" customHeight="1" x14ac:dyDescent="0.3">
      <c r="A98" s="147"/>
      <c r="B98" s="6" t="s">
        <v>662</v>
      </c>
      <c r="C98" s="43" t="s">
        <v>221</v>
      </c>
      <c r="D98" s="43" t="s">
        <v>196</v>
      </c>
      <c r="E98" s="43" t="s">
        <v>224</v>
      </c>
      <c r="F98" s="43" t="s">
        <v>13</v>
      </c>
      <c r="G98" s="15" t="s">
        <v>667</v>
      </c>
      <c r="H98" s="25">
        <f>CEILING(179*USD,10)</f>
        <v>13650</v>
      </c>
      <c r="I98" s="8"/>
      <c r="J98" s="9"/>
      <c r="L98" s="12" t="s">
        <v>1723</v>
      </c>
    </row>
    <row r="99" spans="1:12" ht="20.100000000000001" customHeight="1" x14ac:dyDescent="0.3">
      <c r="A99" s="147"/>
      <c r="B99" s="6" t="s">
        <v>663</v>
      </c>
      <c r="C99" s="43" t="s">
        <v>221</v>
      </c>
      <c r="D99" s="43" t="s">
        <v>51</v>
      </c>
      <c r="E99" s="43" t="s">
        <v>224</v>
      </c>
      <c r="F99" s="43" t="s">
        <v>13</v>
      </c>
      <c r="G99" s="15" t="s">
        <v>667</v>
      </c>
      <c r="H99" s="25">
        <f>CEILING(262*USD,10)</f>
        <v>19980</v>
      </c>
      <c r="I99" s="8"/>
      <c r="J99" s="9"/>
      <c r="L99" s="12" t="s">
        <v>1723</v>
      </c>
    </row>
    <row r="100" spans="1:12" ht="20.100000000000001" customHeight="1" x14ac:dyDescent="0.3">
      <c r="A100" s="147"/>
      <c r="B100" s="6" t="s">
        <v>664</v>
      </c>
      <c r="C100" s="43" t="s">
        <v>63</v>
      </c>
      <c r="D100" s="43" t="s">
        <v>196</v>
      </c>
      <c r="E100" s="43" t="s">
        <v>224</v>
      </c>
      <c r="F100" s="43" t="s">
        <v>13</v>
      </c>
      <c r="G100" s="15" t="s">
        <v>667</v>
      </c>
      <c r="H100" s="25">
        <f>CEILING(262*USD,10)</f>
        <v>19980</v>
      </c>
      <c r="I100" s="8"/>
      <c r="J100" s="9"/>
      <c r="L100" s="12" t="s">
        <v>1723</v>
      </c>
    </row>
    <row r="101" spans="1:12" ht="20.100000000000001" customHeight="1" x14ac:dyDescent="0.3">
      <c r="A101" s="147"/>
      <c r="B101" s="6" t="s">
        <v>665</v>
      </c>
      <c r="C101" s="43" t="s">
        <v>64</v>
      </c>
      <c r="D101" s="43" t="s">
        <v>180</v>
      </c>
      <c r="E101" s="43" t="s">
        <v>224</v>
      </c>
      <c r="F101" s="43" t="s">
        <v>13</v>
      </c>
      <c r="G101" s="15" t="s">
        <v>667</v>
      </c>
      <c r="H101" s="25">
        <f>CEILING(179*USD,10)</f>
        <v>13650</v>
      </c>
      <c r="I101" s="8"/>
      <c r="J101" s="9"/>
      <c r="L101" s="12" t="s">
        <v>1723</v>
      </c>
    </row>
    <row r="102" spans="1:12" ht="20.100000000000001" customHeight="1" x14ac:dyDescent="0.3">
      <c r="A102" s="149"/>
      <c r="B102" s="149"/>
      <c r="C102" s="149"/>
      <c r="D102" s="149"/>
      <c r="E102" s="149"/>
      <c r="F102" s="149"/>
      <c r="G102" s="149"/>
      <c r="H102" s="149"/>
      <c r="I102" s="149"/>
      <c r="J102" s="149"/>
    </row>
    <row r="103" spans="1:12" ht="99.9" customHeight="1" x14ac:dyDescent="0.3">
      <c r="A103" s="139" t="s">
        <v>1936</v>
      </c>
      <c r="B103" s="140"/>
      <c r="C103" s="140"/>
      <c r="D103" s="140"/>
      <c r="E103" s="140"/>
      <c r="F103" s="140"/>
      <c r="G103" s="140"/>
      <c r="H103" s="140"/>
      <c r="I103" s="140"/>
      <c r="J103" s="140"/>
    </row>
    <row r="104" spans="1:12" ht="30" customHeight="1" x14ac:dyDescent="0.3">
      <c r="A104" s="54"/>
      <c r="B104" s="38" t="s">
        <v>2</v>
      </c>
      <c r="C104" s="4" t="s">
        <v>42</v>
      </c>
      <c r="D104" s="4" t="s">
        <v>43</v>
      </c>
      <c r="E104" s="38" t="s">
        <v>9</v>
      </c>
      <c r="F104" s="38" t="s">
        <v>10</v>
      </c>
      <c r="G104" s="4" t="s">
        <v>11</v>
      </c>
      <c r="H104" s="4" t="s">
        <v>17</v>
      </c>
      <c r="I104" s="4"/>
      <c r="J104" s="4"/>
    </row>
    <row r="105" spans="1:12" ht="20.100000000000001" customHeight="1" x14ac:dyDescent="0.3">
      <c r="A105" s="147"/>
      <c r="B105" s="72" t="s">
        <v>1929</v>
      </c>
      <c r="C105" s="54" t="s">
        <v>320</v>
      </c>
      <c r="D105" s="130" t="s">
        <v>216</v>
      </c>
      <c r="E105" s="131" t="s">
        <v>224</v>
      </c>
      <c r="F105" s="131" t="s">
        <v>13</v>
      </c>
      <c r="G105" s="15" t="s">
        <v>1298</v>
      </c>
      <c r="H105" s="25">
        <f>CEILING(87*USD,10)</f>
        <v>6640</v>
      </c>
      <c r="I105" s="8"/>
      <c r="J105" s="9"/>
    </row>
    <row r="106" spans="1:12" ht="20.100000000000001" customHeight="1" x14ac:dyDescent="0.3">
      <c r="A106" s="147"/>
      <c r="B106" s="72" t="s">
        <v>1930</v>
      </c>
      <c r="C106" s="131" t="s">
        <v>214</v>
      </c>
      <c r="D106" s="130" t="s">
        <v>217</v>
      </c>
      <c r="E106" s="131" t="s">
        <v>224</v>
      </c>
      <c r="F106" s="131" t="s">
        <v>13</v>
      </c>
      <c r="G106" s="15" t="s">
        <v>1298</v>
      </c>
      <c r="H106" s="25">
        <f>CEILING(87*USD,10)</f>
        <v>6640</v>
      </c>
      <c r="I106" s="8"/>
      <c r="J106" s="9"/>
    </row>
    <row r="107" spans="1:12" ht="20.100000000000001" customHeight="1" x14ac:dyDescent="0.3">
      <c r="A107" s="147"/>
      <c r="B107" s="72" t="s">
        <v>1931</v>
      </c>
      <c r="C107" s="131" t="s">
        <v>213</v>
      </c>
      <c r="D107" s="130" t="s">
        <v>218</v>
      </c>
      <c r="E107" s="131" t="s">
        <v>224</v>
      </c>
      <c r="F107" s="131" t="s">
        <v>13</v>
      </c>
      <c r="G107" s="15" t="s">
        <v>1298</v>
      </c>
      <c r="H107" s="25">
        <f>CEILING(87*USD,10)</f>
        <v>6640</v>
      </c>
      <c r="I107" s="8"/>
      <c r="J107" s="9"/>
    </row>
    <row r="108" spans="1:12" ht="20.100000000000001" customHeight="1" x14ac:dyDescent="0.3">
      <c r="A108" s="147"/>
      <c r="B108" s="72" t="s">
        <v>1932</v>
      </c>
      <c r="C108" s="131" t="s">
        <v>215</v>
      </c>
      <c r="D108" s="130" t="s">
        <v>219</v>
      </c>
      <c r="E108" s="131" t="s">
        <v>224</v>
      </c>
      <c r="F108" s="131" t="s">
        <v>13</v>
      </c>
      <c r="G108" s="15" t="s">
        <v>1298</v>
      </c>
      <c r="H108" s="25">
        <f>CEILING(87*USD,10)</f>
        <v>6640</v>
      </c>
      <c r="I108" s="8"/>
      <c r="J108" s="9"/>
    </row>
    <row r="109" spans="1:12" ht="20.100000000000001" customHeight="1" x14ac:dyDescent="0.3">
      <c r="A109" s="147"/>
      <c r="B109" s="72" t="s">
        <v>1933</v>
      </c>
      <c r="C109" s="131" t="s">
        <v>214</v>
      </c>
      <c r="D109" s="130" t="s">
        <v>217</v>
      </c>
      <c r="E109" s="131" t="s">
        <v>224</v>
      </c>
      <c r="F109" s="131" t="s">
        <v>13</v>
      </c>
      <c r="G109" s="15" t="s">
        <v>1298</v>
      </c>
      <c r="H109" s="25">
        <f>CEILING(97*USD,10)</f>
        <v>7400</v>
      </c>
      <c r="I109" s="8"/>
      <c r="J109" s="9"/>
    </row>
    <row r="110" spans="1:12" ht="20.100000000000001" customHeight="1" x14ac:dyDescent="0.3">
      <c r="A110" s="147"/>
      <c r="B110" s="72" t="s">
        <v>1934</v>
      </c>
      <c r="C110" s="131" t="s">
        <v>213</v>
      </c>
      <c r="D110" s="130" t="s">
        <v>218</v>
      </c>
      <c r="E110" s="131" t="s">
        <v>224</v>
      </c>
      <c r="F110" s="131" t="s">
        <v>13</v>
      </c>
      <c r="G110" s="15" t="s">
        <v>1298</v>
      </c>
      <c r="H110" s="25">
        <f>CEILING(97*USD,10)</f>
        <v>7400</v>
      </c>
      <c r="I110" s="8"/>
      <c r="J110" s="9"/>
    </row>
    <row r="111" spans="1:12" ht="20.100000000000001" customHeight="1" x14ac:dyDescent="0.3">
      <c r="A111" s="147"/>
      <c r="B111" s="72" t="s">
        <v>1290</v>
      </c>
      <c r="C111" s="131" t="s">
        <v>320</v>
      </c>
      <c r="D111" s="130" t="s">
        <v>216</v>
      </c>
      <c r="E111" s="131" t="s">
        <v>224</v>
      </c>
      <c r="F111" s="131" t="s">
        <v>13</v>
      </c>
      <c r="G111" s="15" t="s">
        <v>1298</v>
      </c>
      <c r="H111" s="25">
        <f>CEILING(95*USD,10)</f>
        <v>7250</v>
      </c>
      <c r="I111" s="8"/>
      <c r="J111" s="9"/>
    </row>
    <row r="112" spans="1:12" ht="20.100000000000001" customHeight="1" x14ac:dyDescent="0.3">
      <c r="A112" s="147"/>
      <c r="B112" s="72" t="s">
        <v>1291</v>
      </c>
      <c r="C112" s="131" t="s">
        <v>214</v>
      </c>
      <c r="D112" s="130" t="s">
        <v>217</v>
      </c>
      <c r="E112" s="131" t="s">
        <v>224</v>
      </c>
      <c r="F112" s="131" t="s">
        <v>13</v>
      </c>
      <c r="G112" s="15" t="s">
        <v>1298</v>
      </c>
      <c r="H112" s="25">
        <f>CEILING(95*USD,10)</f>
        <v>7250</v>
      </c>
      <c r="I112" s="8"/>
      <c r="J112" s="9"/>
    </row>
    <row r="113" spans="1:10" ht="20.100000000000001" customHeight="1" x14ac:dyDescent="0.3">
      <c r="A113" s="147"/>
      <c r="B113" s="72" t="s">
        <v>1292</v>
      </c>
      <c r="C113" s="131" t="s">
        <v>213</v>
      </c>
      <c r="D113" s="130" t="s">
        <v>218</v>
      </c>
      <c r="E113" s="131" t="s">
        <v>224</v>
      </c>
      <c r="F113" s="131" t="s">
        <v>13</v>
      </c>
      <c r="G113" s="15" t="s">
        <v>1298</v>
      </c>
      <c r="H113" s="25">
        <f>CEILING(95*USD,10)</f>
        <v>7250</v>
      </c>
      <c r="I113" s="8"/>
      <c r="J113" s="9"/>
    </row>
    <row r="114" spans="1:10" ht="20.100000000000001" customHeight="1" x14ac:dyDescent="0.3">
      <c r="A114" s="147"/>
      <c r="B114" s="72" t="s">
        <v>1293</v>
      </c>
      <c r="C114" s="131" t="s">
        <v>215</v>
      </c>
      <c r="D114" s="130" t="s">
        <v>219</v>
      </c>
      <c r="E114" s="131" t="s">
        <v>224</v>
      </c>
      <c r="F114" s="131" t="s">
        <v>13</v>
      </c>
      <c r="G114" s="15" t="s">
        <v>1298</v>
      </c>
      <c r="H114" s="25">
        <f>CEILING(95*USD,10)</f>
        <v>7250</v>
      </c>
      <c r="I114" s="8"/>
      <c r="J114" s="9"/>
    </row>
    <row r="115" spans="1:10" ht="20.100000000000001" customHeight="1" x14ac:dyDescent="0.3">
      <c r="A115" s="147"/>
      <c r="B115" s="72" t="s">
        <v>1294</v>
      </c>
      <c r="C115" s="131" t="s">
        <v>320</v>
      </c>
      <c r="D115" s="130" t="s">
        <v>216</v>
      </c>
      <c r="E115" s="131" t="s">
        <v>224</v>
      </c>
      <c r="F115" s="131" t="s">
        <v>13</v>
      </c>
      <c r="G115" s="15" t="s">
        <v>1298</v>
      </c>
      <c r="H115" s="25">
        <f>CEILING(105*USD,10)</f>
        <v>8010</v>
      </c>
      <c r="I115" s="8"/>
      <c r="J115" s="9"/>
    </row>
    <row r="116" spans="1:10" ht="20.100000000000001" customHeight="1" x14ac:dyDescent="0.3">
      <c r="A116" s="147"/>
      <c r="B116" s="72" t="s">
        <v>1295</v>
      </c>
      <c r="C116" s="131" t="s">
        <v>214</v>
      </c>
      <c r="D116" s="130" t="s">
        <v>217</v>
      </c>
      <c r="E116" s="131" t="s">
        <v>224</v>
      </c>
      <c r="F116" s="131" t="s">
        <v>13</v>
      </c>
      <c r="G116" s="15" t="s">
        <v>1298</v>
      </c>
      <c r="H116" s="25">
        <f>CEILING(105*USD,10)</f>
        <v>8010</v>
      </c>
      <c r="I116" s="8"/>
      <c r="J116" s="9"/>
    </row>
    <row r="117" spans="1:10" ht="20.100000000000001" customHeight="1" x14ac:dyDescent="0.3">
      <c r="A117" s="147"/>
      <c r="B117" s="72" t="s">
        <v>1296</v>
      </c>
      <c r="C117" s="131" t="s">
        <v>213</v>
      </c>
      <c r="D117" s="130" t="s">
        <v>218</v>
      </c>
      <c r="E117" s="131" t="s">
        <v>224</v>
      </c>
      <c r="F117" s="131" t="s">
        <v>13</v>
      </c>
      <c r="G117" s="15" t="s">
        <v>1298</v>
      </c>
      <c r="H117" s="25">
        <f>CEILING(105*USD,10)</f>
        <v>8010</v>
      </c>
      <c r="I117" s="8"/>
      <c r="J117" s="9"/>
    </row>
    <row r="118" spans="1:10" ht="20.100000000000001" customHeight="1" x14ac:dyDescent="0.3">
      <c r="A118" s="147"/>
      <c r="B118" s="72" t="s">
        <v>1297</v>
      </c>
      <c r="C118" s="131" t="s">
        <v>215</v>
      </c>
      <c r="D118" s="130" t="s">
        <v>219</v>
      </c>
      <c r="E118" s="131" t="s">
        <v>224</v>
      </c>
      <c r="F118" s="131" t="s">
        <v>13</v>
      </c>
      <c r="G118" s="15" t="s">
        <v>1298</v>
      </c>
      <c r="H118" s="25">
        <f>CEILING(105*USD,10)</f>
        <v>8010</v>
      </c>
      <c r="I118" s="8"/>
      <c r="J118" s="9"/>
    </row>
    <row r="119" spans="1:10" ht="20.100000000000001" customHeight="1" x14ac:dyDescent="0.3">
      <c r="A119" s="147"/>
      <c r="B119" s="72" t="s">
        <v>1545</v>
      </c>
      <c r="C119" s="131" t="s">
        <v>214</v>
      </c>
      <c r="D119" s="130" t="s">
        <v>217</v>
      </c>
      <c r="E119" s="83" t="s">
        <v>224</v>
      </c>
      <c r="F119" s="83" t="s">
        <v>13</v>
      </c>
      <c r="G119" s="15" t="s">
        <v>1298</v>
      </c>
      <c r="H119" s="25">
        <f>CEILING(103*USD,10)</f>
        <v>7860</v>
      </c>
      <c r="I119" s="8"/>
      <c r="J119" s="9"/>
    </row>
    <row r="120" spans="1:10" ht="20.100000000000001" customHeight="1" x14ac:dyDescent="0.3">
      <c r="A120" s="147"/>
      <c r="B120" s="72" t="s">
        <v>1546</v>
      </c>
      <c r="C120" s="131" t="s">
        <v>213</v>
      </c>
      <c r="D120" s="130" t="s">
        <v>218</v>
      </c>
      <c r="E120" s="54" t="s">
        <v>224</v>
      </c>
      <c r="F120" s="54" t="s">
        <v>13</v>
      </c>
      <c r="G120" s="15" t="s">
        <v>1298</v>
      </c>
      <c r="H120" s="25">
        <f>CEILING(103*USD,10)</f>
        <v>7860</v>
      </c>
      <c r="I120" s="8"/>
      <c r="J120" s="9"/>
    </row>
    <row r="121" spans="1:10" ht="20.100000000000001" customHeight="1" x14ac:dyDescent="0.3">
      <c r="A121" s="159" t="s">
        <v>67</v>
      </c>
      <c r="B121" s="159"/>
      <c r="C121" s="159"/>
      <c r="D121" s="159"/>
      <c r="E121" s="159"/>
      <c r="F121" s="159"/>
      <c r="G121" s="159"/>
      <c r="H121" s="159"/>
      <c r="I121" s="159"/>
      <c r="J121" s="159"/>
    </row>
    <row r="122" spans="1:10" ht="20.100000000000001" customHeight="1" x14ac:dyDescent="0.3">
      <c r="A122" s="181" t="s">
        <v>1547</v>
      </c>
      <c r="B122" s="182"/>
      <c r="C122" s="182"/>
      <c r="D122" s="182"/>
      <c r="E122" s="182"/>
      <c r="F122" s="182"/>
      <c r="G122" s="183"/>
      <c r="H122" s="9">
        <f>CEILING(10*USD,10)</f>
        <v>770</v>
      </c>
      <c r="I122" s="8"/>
      <c r="J122" s="9"/>
    </row>
    <row r="123" spans="1:10" ht="20.100000000000001" customHeight="1" x14ac:dyDescent="0.3">
      <c r="A123" s="181" t="s">
        <v>1935</v>
      </c>
      <c r="B123" s="182"/>
      <c r="C123" s="182"/>
      <c r="D123" s="182"/>
      <c r="E123" s="182"/>
      <c r="F123" s="182"/>
      <c r="G123" s="183"/>
      <c r="H123" s="9">
        <f>CEILING(15*USD,10)</f>
        <v>1150</v>
      </c>
      <c r="I123" s="8"/>
      <c r="J123" s="9"/>
    </row>
    <row r="124" spans="1:10" ht="20.100000000000001" customHeight="1" x14ac:dyDescent="0.3">
      <c r="A124" s="181" t="s">
        <v>1548</v>
      </c>
      <c r="B124" s="182"/>
      <c r="C124" s="182"/>
      <c r="D124" s="182"/>
      <c r="E124" s="182"/>
      <c r="F124" s="182"/>
      <c r="G124" s="183"/>
      <c r="H124" s="9">
        <f>CEILING(10*USD,10)</f>
        <v>770</v>
      </c>
      <c r="I124" s="8"/>
      <c r="J124" s="9"/>
    </row>
    <row r="125" spans="1:10" ht="20.100000000000001" customHeight="1" x14ac:dyDescent="0.3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</row>
    <row r="126" spans="1:10" ht="30" customHeight="1" x14ac:dyDescent="0.3">
      <c r="A126" s="140" t="s">
        <v>1058</v>
      </c>
      <c r="B126" s="140"/>
      <c r="C126" s="140"/>
      <c r="D126" s="140"/>
      <c r="E126" s="140"/>
      <c r="F126" s="140"/>
      <c r="G126" s="140"/>
      <c r="H126" s="140"/>
      <c r="I126" s="140"/>
      <c r="J126" s="140"/>
    </row>
    <row r="127" spans="1:10" ht="30" customHeight="1" x14ac:dyDescent="0.3">
      <c r="A127" s="43"/>
      <c r="B127" s="38" t="s">
        <v>2</v>
      </c>
      <c r="C127" s="4" t="s">
        <v>42</v>
      </c>
      <c r="D127" s="4" t="s">
        <v>43</v>
      </c>
      <c r="E127" s="38" t="s">
        <v>9</v>
      </c>
      <c r="F127" s="38" t="s">
        <v>10</v>
      </c>
      <c r="G127" s="4" t="s">
        <v>11</v>
      </c>
      <c r="H127" s="4" t="s">
        <v>17</v>
      </c>
      <c r="I127" s="4"/>
      <c r="J127" s="4"/>
    </row>
    <row r="128" spans="1:10" ht="39.9" customHeight="1" x14ac:dyDescent="0.3">
      <c r="A128" s="147"/>
      <c r="B128" s="6" t="s">
        <v>668</v>
      </c>
      <c r="C128" s="43" t="s">
        <v>484</v>
      </c>
      <c r="D128" s="43" t="s">
        <v>222</v>
      </c>
      <c r="E128" s="43" t="s">
        <v>224</v>
      </c>
      <c r="F128" s="43" t="s">
        <v>13</v>
      </c>
      <c r="G128" s="15" t="s">
        <v>671</v>
      </c>
      <c r="H128" s="25">
        <f>CEILING(205*USD,10)</f>
        <v>15640</v>
      </c>
      <c r="I128" s="8"/>
      <c r="J128" s="9"/>
    </row>
    <row r="129" spans="1:12" ht="39.9" customHeight="1" x14ac:dyDescent="0.3">
      <c r="A129" s="147"/>
      <c r="B129" s="6" t="s">
        <v>669</v>
      </c>
      <c r="C129" s="43" t="s">
        <v>220</v>
      </c>
      <c r="D129" s="43" t="s">
        <v>51</v>
      </c>
      <c r="E129" s="43" t="s">
        <v>224</v>
      </c>
      <c r="F129" s="43" t="s">
        <v>13</v>
      </c>
      <c r="G129" s="15" t="s">
        <v>671</v>
      </c>
      <c r="H129" s="25">
        <f>CEILING(205*USD,10)</f>
        <v>15640</v>
      </c>
      <c r="I129" s="8"/>
      <c r="J129" s="9"/>
    </row>
    <row r="130" spans="1:12" ht="39.9" customHeight="1" x14ac:dyDescent="0.3">
      <c r="A130" s="147"/>
      <c r="B130" s="6" t="s">
        <v>670</v>
      </c>
      <c r="C130" s="43" t="s">
        <v>221</v>
      </c>
      <c r="D130" s="43" t="s">
        <v>196</v>
      </c>
      <c r="E130" s="43" t="s">
        <v>224</v>
      </c>
      <c r="F130" s="43" t="s">
        <v>13</v>
      </c>
      <c r="G130" s="15" t="s">
        <v>671</v>
      </c>
      <c r="H130" s="25">
        <f>CEILING(205*USD,10)</f>
        <v>15640</v>
      </c>
      <c r="I130" s="8"/>
      <c r="J130" s="9"/>
    </row>
    <row r="131" spans="1:12" ht="20.100000000000001" customHeight="1" x14ac:dyDescent="0.3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</row>
    <row r="132" spans="1:12" ht="30" customHeight="1" x14ac:dyDescent="0.3">
      <c r="A132" s="140" t="s">
        <v>1130</v>
      </c>
      <c r="B132" s="140"/>
      <c r="C132" s="140"/>
      <c r="D132" s="140"/>
      <c r="E132" s="140"/>
      <c r="F132" s="140"/>
      <c r="G132" s="140"/>
      <c r="H132" s="140"/>
      <c r="I132" s="140"/>
      <c r="J132" s="140"/>
    </row>
    <row r="133" spans="1:12" ht="30" customHeight="1" x14ac:dyDescent="0.3">
      <c r="A133" s="43"/>
      <c r="B133" s="38" t="s">
        <v>2</v>
      </c>
      <c r="C133" s="4" t="s">
        <v>42</v>
      </c>
      <c r="D133" s="4" t="s">
        <v>43</v>
      </c>
      <c r="E133" s="38" t="s">
        <v>9</v>
      </c>
      <c r="F133" s="38" t="s">
        <v>10</v>
      </c>
      <c r="G133" s="4" t="s">
        <v>11</v>
      </c>
      <c r="H133" s="4" t="s">
        <v>17</v>
      </c>
      <c r="I133" s="4"/>
      <c r="J133" s="4"/>
    </row>
    <row r="134" spans="1:12" ht="39.9" customHeight="1" x14ac:dyDescent="0.3">
      <c r="A134" s="147"/>
      <c r="B134" s="6" t="s">
        <v>1059</v>
      </c>
      <c r="C134" s="43" t="s">
        <v>214</v>
      </c>
      <c r="D134" s="43" t="s">
        <v>217</v>
      </c>
      <c r="E134" s="43" t="s">
        <v>224</v>
      </c>
      <c r="F134" s="43" t="s">
        <v>13</v>
      </c>
      <c r="G134" s="15" t="s">
        <v>1131</v>
      </c>
      <c r="H134" s="25">
        <f>CEILING(276*USD,10)</f>
        <v>21050</v>
      </c>
      <c r="I134" s="8"/>
      <c r="J134" s="9"/>
      <c r="L134" s="12" t="s">
        <v>1722</v>
      </c>
    </row>
    <row r="135" spans="1:12" ht="39.9" customHeight="1" x14ac:dyDescent="0.3">
      <c r="A135" s="147"/>
      <c r="B135" s="6" t="s">
        <v>1060</v>
      </c>
      <c r="C135" s="43" t="s">
        <v>213</v>
      </c>
      <c r="D135" s="43" t="s">
        <v>218</v>
      </c>
      <c r="E135" s="43" t="s">
        <v>224</v>
      </c>
      <c r="F135" s="43" t="s">
        <v>13</v>
      </c>
      <c r="G135" s="15" t="s">
        <v>1131</v>
      </c>
      <c r="H135" s="25">
        <f>CEILING(276*USD,10)</f>
        <v>21050</v>
      </c>
      <c r="I135" s="8"/>
      <c r="J135" s="9"/>
      <c r="L135" s="12" t="s">
        <v>1722</v>
      </c>
    </row>
    <row r="136" spans="1:12" ht="39.9" customHeight="1" x14ac:dyDescent="0.3">
      <c r="A136" s="147"/>
      <c r="B136" s="6" t="s">
        <v>1061</v>
      </c>
      <c r="C136" s="43" t="s">
        <v>215</v>
      </c>
      <c r="D136" s="43" t="s">
        <v>219</v>
      </c>
      <c r="E136" s="43" t="s">
        <v>224</v>
      </c>
      <c r="F136" s="43" t="s">
        <v>13</v>
      </c>
      <c r="G136" s="15" t="s">
        <v>1131</v>
      </c>
      <c r="H136" s="25">
        <f>CEILING(276*USD,10)</f>
        <v>21050</v>
      </c>
      <c r="I136" s="8"/>
      <c r="J136" s="9"/>
      <c r="L136" s="12" t="s">
        <v>1722</v>
      </c>
    </row>
    <row r="137" spans="1:12" ht="20.100000000000001" customHeight="1" x14ac:dyDescent="0.3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</row>
    <row r="138" spans="1:12" ht="30" customHeight="1" x14ac:dyDescent="0.3">
      <c r="A138" s="140" t="s">
        <v>1062</v>
      </c>
      <c r="B138" s="140"/>
      <c r="C138" s="140"/>
      <c r="D138" s="140"/>
      <c r="E138" s="140"/>
      <c r="F138" s="140"/>
      <c r="G138" s="140"/>
      <c r="H138" s="140"/>
      <c r="I138" s="140"/>
      <c r="J138" s="140"/>
    </row>
    <row r="139" spans="1:12" ht="30" customHeight="1" x14ac:dyDescent="0.3">
      <c r="A139" s="43"/>
      <c r="B139" s="38" t="s">
        <v>2</v>
      </c>
      <c r="C139" s="4" t="s">
        <v>42</v>
      </c>
      <c r="D139" s="4" t="s">
        <v>43</v>
      </c>
      <c r="E139" s="38" t="s">
        <v>9</v>
      </c>
      <c r="F139" s="38" t="s">
        <v>10</v>
      </c>
      <c r="G139" s="4" t="s">
        <v>11</v>
      </c>
      <c r="H139" s="4" t="s">
        <v>17</v>
      </c>
      <c r="I139" s="4"/>
      <c r="J139" s="4"/>
    </row>
    <row r="140" spans="1:12" ht="20.100000000000001" customHeight="1" x14ac:dyDescent="0.3">
      <c r="A140" s="147"/>
      <c r="B140" s="6" t="s">
        <v>672</v>
      </c>
      <c r="C140" s="43" t="s">
        <v>484</v>
      </c>
      <c r="D140" s="43" t="s">
        <v>51</v>
      </c>
      <c r="E140" s="43" t="s">
        <v>224</v>
      </c>
      <c r="F140" s="43" t="s">
        <v>13</v>
      </c>
      <c r="G140" s="15" t="s">
        <v>684</v>
      </c>
      <c r="H140" s="7">
        <f>CEILING(95*USD,10)</f>
        <v>7250</v>
      </c>
      <c r="I140" s="8"/>
      <c r="J140" s="9"/>
    </row>
    <row r="141" spans="1:12" ht="20.100000000000001" customHeight="1" x14ac:dyDescent="0.3">
      <c r="A141" s="147"/>
      <c r="B141" s="6" t="s">
        <v>673</v>
      </c>
      <c r="C141" s="43" t="s">
        <v>220</v>
      </c>
      <c r="D141" s="43" t="s">
        <v>196</v>
      </c>
      <c r="E141" s="43" t="s">
        <v>224</v>
      </c>
      <c r="F141" s="43" t="s">
        <v>13</v>
      </c>
      <c r="G141" s="15" t="s">
        <v>684</v>
      </c>
      <c r="H141" s="7">
        <f>CEILING(95*USD,10)</f>
        <v>7250</v>
      </c>
      <c r="I141" s="8"/>
      <c r="J141" s="9"/>
    </row>
    <row r="142" spans="1:12" ht="20.100000000000001" customHeight="1" x14ac:dyDescent="0.3">
      <c r="A142" s="147"/>
      <c r="B142" s="6" t="s">
        <v>674</v>
      </c>
      <c r="C142" s="43" t="s">
        <v>221</v>
      </c>
      <c r="D142" s="43" t="s">
        <v>180</v>
      </c>
      <c r="E142" s="43" t="s">
        <v>224</v>
      </c>
      <c r="F142" s="43" t="s">
        <v>13</v>
      </c>
      <c r="G142" s="15" t="s">
        <v>684</v>
      </c>
      <c r="H142" s="7">
        <f>CEILING(95*USD,10)</f>
        <v>7250</v>
      </c>
      <c r="I142" s="8"/>
      <c r="J142" s="9"/>
    </row>
    <row r="143" spans="1:12" ht="20.100000000000001" customHeight="1" x14ac:dyDescent="0.3">
      <c r="A143" s="147"/>
      <c r="B143" s="6" t="s">
        <v>675</v>
      </c>
      <c r="C143" s="43" t="s">
        <v>63</v>
      </c>
      <c r="D143" s="43" t="s">
        <v>485</v>
      </c>
      <c r="E143" s="43" t="s">
        <v>224</v>
      </c>
      <c r="F143" s="43" t="s">
        <v>13</v>
      </c>
      <c r="G143" s="15" t="s">
        <v>684</v>
      </c>
      <c r="H143" s="7">
        <f>CEILING(95*USD,10)</f>
        <v>7250</v>
      </c>
      <c r="I143" s="8"/>
      <c r="J143" s="9"/>
    </row>
    <row r="144" spans="1:12" ht="20.100000000000001" customHeight="1" x14ac:dyDescent="0.3">
      <c r="A144" s="147"/>
      <c r="B144" s="6" t="s">
        <v>679</v>
      </c>
      <c r="C144" s="43" t="s">
        <v>484</v>
      </c>
      <c r="D144" s="43" t="s">
        <v>51</v>
      </c>
      <c r="E144" s="43" t="s">
        <v>224</v>
      </c>
      <c r="F144" s="43" t="s">
        <v>13</v>
      </c>
      <c r="G144" s="15" t="s">
        <v>684</v>
      </c>
      <c r="H144" s="7">
        <f>CEILING(105*USD,10)</f>
        <v>8010</v>
      </c>
      <c r="I144" s="8"/>
      <c r="J144" s="9"/>
    </row>
    <row r="145" spans="1:10" ht="20.100000000000001" customHeight="1" x14ac:dyDescent="0.3">
      <c r="A145" s="147"/>
      <c r="B145" s="6" t="s">
        <v>680</v>
      </c>
      <c r="C145" s="43" t="s">
        <v>220</v>
      </c>
      <c r="D145" s="43" t="s">
        <v>196</v>
      </c>
      <c r="E145" s="43" t="s">
        <v>224</v>
      </c>
      <c r="F145" s="43" t="s">
        <v>13</v>
      </c>
      <c r="G145" s="15" t="s">
        <v>684</v>
      </c>
      <c r="H145" s="7">
        <f>CEILING(105*USD,10)</f>
        <v>8010</v>
      </c>
      <c r="I145" s="8"/>
      <c r="J145" s="9"/>
    </row>
    <row r="146" spans="1:10" ht="20.100000000000001" customHeight="1" x14ac:dyDescent="0.3">
      <c r="A146" s="147"/>
      <c r="B146" s="6" t="s">
        <v>681</v>
      </c>
      <c r="C146" s="43" t="s">
        <v>221</v>
      </c>
      <c r="D146" s="43" t="s">
        <v>180</v>
      </c>
      <c r="E146" s="43" t="s">
        <v>224</v>
      </c>
      <c r="F146" s="43" t="s">
        <v>13</v>
      </c>
      <c r="G146" s="15" t="s">
        <v>684</v>
      </c>
      <c r="H146" s="7">
        <f>CEILING(105*USD,10)</f>
        <v>8010</v>
      </c>
      <c r="I146" s="8"/>
      <c r="J146" s="9"/>
    </row>
    <row r="147" spans="1:10" ht="20.100000000000001" customHeight="1" x14ac:dyDescent="0.3">
      <c r="A147" s="147"/>
      <c r="B147" s="6" t="s">
        <v>682</v>
      </c>
      <c r="C147" s="43" t="s">
        <v>63</v>
      </c>
      <c r="D147" s="43" t="s">
        <v>485</v>
      </c>
      <c r="E147" s="43" t="s">
        <v>224</v>
      </c>
      <c r="F147" s="43" t="s">
        <v>13</v>
      </c>
      <c r="G147" s="15" t="s">
        <v>684</v>
      </c>
      <c r="H147" s="7">
        <f>CEILING(105*USD,10)</f>
        <v>8010</v>
      </c>
      <c r="I147" s="8"/>
      <c r="J147" s="9"/>
    </row>
    <row r="148" spans="1:10" ht="20.100000000000001" customHeight="1" x14ac:dyDescent="0.3">
      <c r="A148" s="147"/>
      <c r="B148" s="6" t="s">
        <v>676</v>
      </c>
      <c r="C148" s="43" t="s">
        <v>220</v>
      </c>
      <c r="D148" s="43" t="s">
        <v>196</v>
      </c>
      <c r="E148" s="43" t="s">
        <v>224</v>
      </c>
      <c r="F148" s="43" t="s">
        <v>13</v>
      </c>
      <c r="G148" s="15" t="s">
        <v>685</v>
      </c>
      <c r="H148" s="7">
        <f>CEILING(197*USD,10)</f>
        <v>15030</v>
      </c>
      <c r="I148" s="8"/>
      <c r="J148" s="9"/>
    </row>
    <row r="149" spans="1:10" ht="20.100000000000001" customHeight="1" x14ac:dyDescent="0.3">
      <c r="A149" s="147"/>
      <c r="B149" s="13" t="s">
        <v>683</v>
      </c>
      <c r="C149" s="43" t="s">
        <v>220</v>
      </c>
      <c r="D149" s="43" t="s">
        <v>196</v>
      </c>
      <c r="E149" s="43" t="s">
        <v>224</v>
      </c>
      <c r="F149" s="43" t="s">
        <v>13</v>
      </c>
      <c r="G149" s="15" t="s">
        <v>685</v>
      </c>
      <c r="H149" s="7">
        <f>CEILING(210*USD,10)</f>
        <v>16020</v>
      </c>
      <c r="I149" s="8"/>
      <c r="J149" s="9"/>
    </row>
    <row r="150" spans="1:10" ht="20.100000000000001" customHeight="1" x14ac:dyDescent="0.3">
      <c r="A150" s="147"/>
      <c r="B150" s="6" t="s">
        <v>677</v>
      </c>
      <c r="C150" s="43" t="s">
        <v>221</v>
      </c>
      <c r="D150" s="43" t="s">
        <v>180</v>
      </c>
      <c r="E150" s="43" t="s">
        <v>224</v>
      </c>
      <c r="F150" s="43" t="s">
        <v>13</v>
      </c>
      <c r="G150" s="15" t="s">
        <v>685</v>
      </c>
      <c r="H150" s="7">
        <f>CEILING(197*USD,10)</f>
        <v>15030</v>
      </c>
      <c r="I150" s="8"/>
      <c r="J150" s="9"/>
    </row>
    <row r="151" spans="1:10" ht="20.100000000000001" customHeight="1" x14ac:dyDescent="0.3">
      <c r="A151" s="147"/>
      <c r="B151" s="6" t="s">
        <v>1063</v>
      </c>
      <c r="C151" s="43" t="s">
        <v>221</v>
      </c>
      <c r="D151" s="43" t="s">
        <v>180</v>
      </c>
      <c r="E151" s="43" t="s">
        <v>224</v>
      </c>
      <c r="F151" s="43" t="s">
        <v>13</v>
      </c>
      <c r="G151" s="15" t="s">
        <v>685</v>
      </c>
      <c r="H151" s="7">
        <f>CEILING(210*USD,10)</f>
        <v>16020</v>
      </c>
      <c r="I151" s="8"/>
      <c r="J151" s="9"/>
    </row>
    <row r="152" spans="1:10" ht="20.100000000000001" customHeight="1" x14ac:dyDescent="0.3">
      <c r="A152" s="147"/>
      <c r="B152" s="6" t="s">
        <v>678</v>
      </c>
      <c r="C152" s="43" t="s">
        <v>63</v>
      </c>
      <c r="D152" s="43" t="s">
        <v>485</v>
      </c>
      <c r="E152" s="43" t="s">
        <v>224</v>
      </c>
      <c r="F152" s="43" t="s">
        <v>13</v>
      </c>
      <c r="G152" s="15" t="s">
        <v>685</v>
      </c>
      <c r="H152" s="7">
        <f>CEILING(197*USD,10)</f>
        <v>15030</v>
      </c>
      <c r="I152" s="8"/>
      <c r="J152" s="9"/>
    </row>
    <row r="153" spans="1:10" ht="20.100000000000001" customHeight="1" x14ac:dyDescent="0.3">
      <c r="A153" s="159" t="s">
        <v>67</v>
      </c>
      <c r="B153" s="159"/>
      <c r="C153" s="159"/>
      <c r="D153" s="159"/>
      <c r="E153" s="159"/>
      <c r="F153" s="159"/>
      <c r="G153" s="159"/>
      <c r="H153" s="159"/>
      <c r="I153" s="159"/>
      <c r="J153" s="159"/>
    </row>
    <row r="154" spans="1:10" ht="20.100000000000001" customHeight="1" x14ac:dyDescent="0.3">
      <c r="A154" s="181" t="s">
        <v>687</v>
      </c>
      <c r="B154" s="182"/>
      <c r="C154" s="182"/>
      <c r="D154" s="182"/>
      <c r="E154" s="182"/>
      <c r="F154" s="182"/>
      <c r="G154" s="183"/>
      <c r="H154" s="9">
        <f>CEILING(10*USD,10)</f>
        <v>770</v>
      </c>
      <c r="I154" s="8"/>
      <c r="J154" s="9"/>
    </row>
    <row r="155" spans="1:10" ht="20.100000000000001" customHeight="1" x14ac:dyDescent="0.3">
      <c r="A155" s="181" t="s">
        <v>688</v>
      </c>
      <c r="B155" s="182"/>
      <c r="C155" s="182"/>
      <c r="D155" s="182"/>
      <c r="E155" s="182"/>
      <c r="F155" s="182"/>
      <c r="G155" s="183"/>
      <c r="H155" s="9">
        <f>CEILING(20*USD,10)</f>
        <v>1530</v>
      </c>
      <c r="I155" s="8"/>
      <c r="J155" s="9"/>
    </row>
    <row r="156" spans="1:10" ht="20.100000000000001" customHeight="1" x14ac:dyDescent="0.3">
      <c r="A156" s="181" t="s">
        <v>686</v>
      </c>
      <c r="B156" s="182"/>
      <c r="C156" s="182"/>
      <c r="D156" s="182"/>
      <c r="E156" s="182"/>
      <c r="F156" s="182"/>
      <c r="G156" s="183"/>
      <c r="H156" s="9">
        <f>CEILING(5*USD,10)</f>
        <v>390</v>
      </c>
      <c r="I156" s="8"/>
      <c r="J156" s="9"/>
    </row>
    <row r="157" spans="1:10" ht="20.100000000000001" customHeight="1" x14ac:dyDescent="0.3">
      <c r="A157" s="149"/>
      <c r="B157" s="149"/>
      <c r="C157" s="149"/>
      <c r="D157" s="149"/>
      <c r="E157" s="149"/>
      <c r="F157" s="149"/>
      <c r="G157" s="149"/>
      <c r="H157" s="149"/>
      <c r="I157" s="149"/>
      <c r="J157" s="149"/>
    </row>
    <row r="158" spans="1:10" ht="39.9" customHeight="1" x14ac:dyDescent="0.3">
      <c r="A158" s="139" t="s">
        <v>1064</v>
      </c>
      <c r="B158" s="140"/>
      <c r="C158" s="140"/>
      <c r="D158" s="140"/>
      <c r="E158" s="140"/>
      <c r="F158" s="140"/>
      <c r="G158" s="140"/>
      <c r="H158" s="140"/>
      <c r="I158" s="140"/>
      <c r="J158" s="140"/>
    </row>
    <row r="159" spans="1:10" ht="30" customHeight="1" x14ac:dyDescent="0.3">
      <c r="A159" s="43"/>
      <c r="B159" s="38" t="s">
        <v>2</v>
      </c>
      <c r="C159" s="4" t="s">
        <v>42</v>
      </c>
      <c r="D159" s="4" t="s">
        <v>43</v>
      </c>
      <c r="E159" s="38" t="s">
        <v>9</v>
      </c>
      <c r="F159" s="38" t="s">
        <v>10</v>
      </c>
      <c r="G159" s="4" t="s">
        <v>11</v>
      </c>
      <c r="H159" s="4" t="s">
        <v>17</v>
      </c>
      <c r="I159" s="4"/>
      <c r="J159" s="4"/>
    </row>
    <row r="160" spans="1:10" ht="23.1" customHeight="1" x14ac:dyDescent="0.3">
      <c r="A160" s="147"/>
      <c r="B160" s="6" t="s">
        <v>689</v>
      </c>
      <c r="C160" s="43" t="s">
        <v>484</v>
      </c>
      <c r="D160" s="43" t="s">
        <v>222</v>
      </c>
      <c r="E160" s="43" t="s">
        <v>224</v>
      </c>
      <c r="F160" s="43" t="s">
        <v>13</v>
      </c>
      <c r="G160" s="15" t="s">
        <v>684</v>
      </c>
      <c r="H160" s="7">
        <f>CEILING(113*USD,10)</f>
        <v>8620</v>
      </c>
      <c r="I160" s="8"/>
      <c r="J160" s="9"/>
    </row>
    <row r="161" spans="1:12" ht="23.1" customHeight="1" x14ac:dyDescent="0.3">
      <c r="A161" s="147"/>
      <c r="B161" s="6" t="s">
        <v>1065</v>
      </c>
      <c r="C161" s="43" t="s">
        <v>484</v>
      </c>
      <c r="D161" s="43" t="s">
        <v>222</v>
      </c>
      <c r="E161" s="43" t="s">
        <v>224</v>
      </c>
      <c r="F161" s="43" t="s">
        <v>13</v>
      </c>
      <c r="G161" s="15" t="s">
        <v>684</v>
      </c>
      <c r="H161" s="7">
        <f>CEILING(123*USD,10)</f>
        <v>9380</v>
      </c>
      <c r="I161" s="8"/>
      <c r="J161" s="9"/>
    </row>
    <row r="162" spans="1:12" ht="23.1" customHeight="1" x14ac:dyDescent="0.3">
      <c r="A162" s="147"/>
      <c r="B162" s="6" t="s">
        <v>690</v>
      </c>
      <c r="C162" s="43" t="s">
        <v>220</v>
      </c>
      <c r="D162" s="43" t="s">
        <v>51</v>
      </c>
      <c r="E162" s="43" t="s">
        <v>224</v>
      </c>
      <c r="F162" s="43" t="s">
        <v>13</v>
      </c>
      <c r="G162" s="15" t="s">
        <v>684</v>
      </c>
      <c r="H162" s="7">
        <f>CEILING(113*USD,10)</f>
        <v>8620</v>
      </c>
      <c r="I162" s="8"/>
      <c r="J162" s="9"/>
    </row>
    <row r="163" spans="1:12" ht="23.1" customHeight="1" x14ac:dyDescent="0.3">
      <c r="A163" s="147"/>
      <c r="B163" s="6" t="s">
        <v>1066</v>
      </c>
      <c r="C163" s="43" t="s">
        <v>220</v>
      </c>
      <c r="D163" s="43" t="s">
        <v>51</v>
      </c>
      <c r="E163" s="43" t="s">
        <v>224</v>
      </c>
      <c r="F163" s="43" t="s">
        <v>13</v>
      </c>
      <c r="G163" s="15" t="s">
        <v>684</v>
      </c>
      <c r="H163" s="7">
        <f>CEILING(123*USD,10)</f>
        <v>9380</v>
      </c>
      <c r="I163" s="8"/>
      <c r="J163" s="9"/>
    </row>
    <row r="164" spans="1:12" ht="23.1" customHeight="1" x14ac:dyDescent="0.3">
      <c r="A164" s="147"/>
      <c r="B164" s="6" t="s">
        <v>691</v>
      </c>
      <c r="C164" s="43" t="s">
        <v>221</v>
      </c>
      <c r="D164" s="43" t="s">
        <v>196</v>
      </c>
      <c r="E164" s="43" t="s">
        <v>224</v>
      </c>
      <c r="F164" s="43" t="s">
        <v>13</v>
      </c>
      <c r="G164" s="15" t="s">
        <v>684</v>
      </c>
      <c r="H164" s="7">
        <f>CEILING(113*USD,10)</f>
        <v>8620</v>
      </c>
      <c r="I164" s="8"/>
      <c r="J164" s="9"/>
    </row>
    <row r="165" spans="1:12" ht="23.1" customHeight="1" x14ac:dyDescent="0.3">
      <c r="A165" s="147"/>
      <c r="B165" s="6" t="s">
        <v>1067</v>
      </c>
      <c r="C165" s="43" t="s">
        <v>221</v>
      </c>
      <c r="D165" s="43" t="s">
        <v>196</v>
      </c>
      <c r="E165" s="43" t="s">
        <v>224</v>
      </c>
      <c r="F165" s="43" t="s">
        <v>13</v>
      </c>
      <c r="G165" s="15" t="s">
        <v>684</v>
      </c>
      <c r="H165" s="7">
        <f>CEILING(123*USD,10)</f>
        <v>9380</v>
      </c>
      <c r="I165" s="8"/>
      <c r="J165" s="9"/>
    </row>
    <row r="166" spans="1:12" ht="23.1" customHeight="1" x14ac:dyDescent="0.3">
      <c r="A166" s="147"/>
      <c r="B166" s="6" t="s">
        <v>692</v>
      </c>
      <c r="C166" s="43" t="s">
        <v>177</v>
      </c>
      <c r="D166" s="43" t="s">
        <v>180</v>
      </c>
      <c r="E166" s="43" t="s">
        <v>224</v>
      </c>
      <c r="F166" s="43" t="s">
        <v>13</v>
      </c>
      <c r="G166" s="15" t="s">
        <v>684</v>
      </c>
      <c r="H166" s="7">
        <f>CEILING(113*USD,10)</f>
        <v>8620</v>
      </c>
      <c r="I166" s="8"/>
      <c r="J166" s="9"/>
      <c r="L166" s="12" t="s">
        <v>1814</v>
      </c>
    </row>
    <row r="167" spans="1:12" ht="23.1" customHeight="1" x14ac:dyDescent="0.3">
      <c r="A167" s="147"/>
      <c r="B167" s="6" t="s">
        <v>693</v>
      </c>
      <c r="C167" s="43" t="s">
        <v>220</v>
      </c>
      <c r="D167" s="43" t="s">
        <v>51</v>
      </c>
      <c r="E167" s="43" t="s">
        <v>224</v>
      </c>
      <c r="F167" s="43" t="s">
        <v>13</v>
      </c>
      <c r="G167" s="15" t="s">
        <v>1133</v>
      </c>
      <c r="H167" s="7">
        <f>CEILING(145*USD,10)</f>
        <v>11060</v>
      </c>
      <c r="I167" s="8"/>
      <c r="J167" s="9"/>
    </row>
    <row r="168" spans="1:12" ht="23.1" customHeight="1" x14ac:dyDescent="0.3">
      <c r="A168" s="147"/>
      <c r="B168" s="6" t="s">
        <v>694</v>
      </c>
      <c r="C168" s="43" t="s">
        <v>221</v>
      </c>
      <c r="D168" s="43" t="s">
        <v>196</v>
      </c>
      <c r="E168" s="43" t="s">
        <v>224</v>
      </c>
      <c r="F168" s="43" t="s">
        <v>13</v>
      </c>
      <c r="G168" s="15" t="s">
        <v>1133</v>
      </c>
      <c r="H168" s="7">
        <f>CEILING(145*USD,10)</f>
        <v>11060</v>
      </c>
      <c r="I168" s="8"/>
      <c r="J168" s="9"/>
    </row>
    <row r="169" spans="1:12" ht="23.1" customHeight="1" x14ac:dyDescent="0.3">
      <c r="A169" s="147"/>
      <c r="B169" s="6" t="s">
        <v>695</v>
      </c>
      <c r="C169" s="43" t="s">
        <v>177</v>
      </c>
      <c r="D169" s="55" t="s">
        <v>180</v>
      </c>
      <c r="E169" s="43" t="s">
        <v>224</v>
      </c>
      <c r="F169" s="43" t="s">
        <v>13</v>
      </c>
      <c r="G169" s="15" t="s">
        <v>1133</v>
      </c>
      <c r="H169" s="7">
        <f>CEILING(145*USD,10)</f>
        <v>11060</v>
      </c>
      <c r="I169" s="8"/>
      <c r="J169" s="9"/>
    </row>
    <row r="170" spans="1:12" ht="20.100000000000001" customHeight="1" x14ac:dyDescent="0.3">
      <c r="A170" s="159" t="s">
        <v>67</v>
      </c>
      <c r="B170" s="159"/>
      <c r="C170" s="159"/>
      <c r="D170" s="159"/>
      <c r="E170" s="159"/>
      <c r="F170" s="159"/>
      <c r="G170" s="159"/>
      <c r="H170" s="159"/>
      <c r="I170" s="159"/>
      <c r="J170" s="159"/>
    </row>
    <row r="171" spans="1:12" ht="20.100000000000001" customHeight="1" x14ac:dyDescent="0.3">
      <c r="A171" s="181" t="s">
        <v>687</v>
      </c>
      <c r="B171" s="182"/>
      <c r="C171" s="182"/>
      <c r="D171" s="182"/>
      <c r="E171" s="182"/>
      <c r="F171" s="182"/>
      <c r="G171" s="183"/>
      <c r="H171" s="9">
        <f>CEILING(11*USD,10)</f>
        <v>840</v>
      </c>
      <c r="I171" s="8"/>
      <c r="J171" s="9"/>
    </row>
    <row r="172" spans="1:12" ht="20.100000000000001" customHeight="1" x14ac:dyDescent="0.3">
      <c r="A172" s="181" t="s">
        <v>688</v>
      </c>
      <c r="B172" s="182"/>
      <c r="C172" s="182"/>
      <c r="D172" s="182"/>
      <c r="E172" s="182"/>
      <c r="F172" s="182"/>
      <c r="G172" s="183"/>
      <c r="H172" s="9">
        <f>CEILING(20*USD,10)</f>
        <v>1530</v>
      </c>
      <c r="I172" s="8"/>
      <c r="J172" s="9"/>
    </row>
    <row r="173" spans="1:12" ht="20.100000000000001" customHeight="1" x14ac:dyDescent="0.3">
      <c r="A173" s="181" t="s">
        <v>686</v>
      </c>
      <c r="B173" s="182"/>
      <c r="C173" s="182"/>
      <c r="D173" s="182"/>
      <c r="E173" s="182"/>
      <c r="F173" s="182"/>
      <c r="G173" s="183"/>
      <c r="H173" s="9">
        <f>CEILING(5*USD,10)</f>
        <v>390</v>
      </c>
      <c r="I173" s="8"/>
      <c r="J173" s="9"/>
    </row>
    <row r="174" spans="1:12" ht="20.100000000000001" customHeight="1" x14ac:dyDescent="0.3">
      <c r="A174" s="149"/>
      <c r="B174" s="149"/>
      <c r="C174" s="149"/>
      <c r="D174" s="149"/>
      <c r="E174" s="149"/>
      <c r="F174" s="149"/>
      <c r="G174" s="149"/>
      <c r="H174" s="149"/>
      <c r="I174" s="149"/>
      <c r="J174" s="149"/>
    </row>
    <row r="175" spans="1:12" ht="30" customHeight="1" x14ac:dyDescent="0.3">
      <c r="A175" s="140" t="s">
        <v>1069</v>
      </c>
      <c r="B175" s="140"/>
      <c r="C175" s="140"/>
      <c r="D175" s="140"/>
      <c r="E175" s="140"/>
      <c r="F175" s="140"/>
      <c r="G175" s="140"/>
      <c r="H175" s="140"/>
      <c r="I175" s="140"/>
      <c r="J175" s="140"/>
    </row>
    <row r="176" spans="1:12" ht="30" customHeight="1" x14ac:dyDescent="0.3">
      <c r="A176" s="43"/>
      <c r="B176" s="38" t="s">
        <v>2</v>
      </c>
      <c r="C176" s="4" t="s">
        <v>42</v>
      </c>
      <c r="D176" s="4" t="s">
        <v>43</v>
      </c>
      <c r="E176" s="38" t="s">
        <v>9</v>
      </c>
      <c r="F176" s="38" t="s">
        <v>10</v>
      </c>
      <c r="G176" s="4" t="s">
        <v>11</v>
      </c>
      <c r="H176" s="4" t="s">
        <v>17</v>
      </c>
      <c r="I176" s="4"/>
      <c r="J176" s="4"/>
    </row>
    <row r="177" spans="1:10" ht="30" customHeight="1" x14ac:dyDescent="0.3">
      <c r="A177" s="147"/>
      <c r="B177" s="6" t="s">
        <v>696</v>
      </c>
      <c r="C177" s="43" t="s">
        <v>666</v>
      </c>
      <c r="D177" s="43" t="s">
        <v>222</v>
      </c>
      <c r="E177" s="43" t="s">
        <v>224</v>
      </c>
      <c r="F177" s="43" t="s">
        <v>13</v>
      </c>
      <c r="G177" s="15" t="s">
        <v>667</v>
      </c>
      <c r="H177" s="25">
        <f>CEILING(267*USD,10)</f>
        <v>20360</v>
      </c>
      <c r="I177" s="8"/>
      <c r="J177" s="9"/>
    </row>
    <row r="178" spans="1:10" ht="30" customHeight="1" x14ac:dyDescent="0.3">
      <c r="A178" s="147"/>
      <c r="B178" s="6" t="s">
        <v>697</v>
      </c>
      <c r="C178" s="43" t="s">
        <v>220</v>
      </c>
      <c r="D178" s="43" t="s">
        <v>51</v>
      </c>
      <c r="E178" s="43" t="s">
        <v>224</v>
      </c>
      <c r="F178" s="43" t="s">
        <v>13</v>
      </c>
      <c r="G178" s="15" t="s">
        <v>667</v>
      </c>
      <c r="H178" s="25">
        <f>CEILING(267*USD,10)</f>
        <v>20360</v>
      </c>
      <c r="I178" s="8"/>
      <c r="J178" s="9"/>
    </row>
    <row r="179" spans="1:10" ht="30" customHeight="1" x14ac:dyDescent="0.3">
      <c r="A179" s="147"/>
      <c r="B179" s="6" t="s">
        <v>698</v>
      </c>
      <c r="C179" s="43" t="s">
        <v>221</v>
      </c>
      <c r="D179" s="43" t="s">
        <v>196</v>
      </c>
      <c r="E179" s="43" t="s">
        <v>224</v>
      </c>
      <c r="F179" s="43" t="s">
        <v>13</v>
      </c>
      <c r="G179" s="15" t="s">
        <v>667</v>
      </c>
      <c r="H179" s="25">
        <f>CEILING(267*USD,10)</f>
        <v>20360</v>
      </c>
      <c r="I179" s="8"/>
      <c r="J179" s="9"/>
    </row>
    <row r="180" spans="1:10" ht="30" customHeight="1" x14ac:dyDescent="0.3">
      <c r="A180" s="147"/>
      <c r="B180" s="6" t="s">
        <v>699</v>
      </c>
      <c r="C180" s="43" t="s">
        <v>64</v>
      </c>
      <c r="D180" s="43" t="s">
        <v>180</v>
      </c>
      <c r="E180" s="43" t="s">
        <v>224</v>
      </c>
      <c r="F180" s="43" t="s">
        <v>13</v>
      </c>
      <c r="G180" s="15" t="s">
        <v>667</v>
      </c>
      <c r="H180" s="25">
        <f>CEILING(267*USD,10)</f>
        <v>20360</v>
      </c>
      <c r="I180" s="8"/>
      <c r="J180" s="9"/>
    </row>
    <row r="181" spans="1:10" ht="20.100000000000001" customHeight="1" x14ac:dyDescent="0.3">
      <c r="A181" s="149"/>
      <c r="B181" s="149"/>
      <c r="C181" s="149"/>
      <c r="D181" s="149"/>
      <c r="E181" s="149"/>
      <c r="F181" s="149"/>
      <c r="G181" s="149"/>
      <c r="H181" s="149"/>
      <c r="I181" s="149"/>
      <c r="J181" s="149"/>
    </row>
    <row r="182" spans="1:10" ht="30" customHeight="1" x14ac:dyDescent="0.3">
      <c r="A182" s="140" t="s">
        <v>1068</v>
      </c>
      <c r="B182" s="140"/>
      <c r="C182" s="140"/>
      <c r="D182" s="140"/>
      <c r="E182" s="140"/>
      <c r="F182" s="140"/>
      <c r="G182" s="140"/>
      <c r="H182" s="140"/>
      <c r="I182" s="140"/>
      <c r="J182" s="140"/>
    </row>
    <row r="183" spans="1:10" ht="30" customHeight="1" x14ac:dyDescent="0.3">
      <c r="A183" s="43"/>
      <c r="B183" s="38" t="s">
        <v>2</v>
      </c>
      <c r="C183" s="4" t="s">
        <v>42</v>
      </c>
      <c r="D183" s="4" t="s">
        <v>43</v>
      </c>
      <c r="E183" s="38" t="s">
        <v>9</v>
      </c>
      <c r="F183" s="38" t="s">
        <v>10</v>
      </c>
      <c r="G183" s="4" t="s">
        <v>11</v>
      </c>
      <c r="H183" s="4" t="s">
        <v>17</v>
      </c>
      <c r="I183" s="4"/>
      <c r="J183" s="4"/>
    </row>
    <row r="184" spans="1:10" ht="30" customHeight="1" x14ac:dyDescent="0.3">
      <c r="A184" s="147"/>
      <c r="B184" s="6" t="s">
        <v>700</v>
      </c>
      <c r="C184" s="43" t="s">
        <v>500</v>
      </c>
      <c r="D184" s="43" t="s">
        <v>222</v>
      </c>
      <c r="E184" s="43" t="s">
        <v>224</v>
      </c>
      <c r="F184" s="43" t="s">
        <v>13</v>
      </c>
      <c r="G184" s="15" t="s">
        <v>658</v>
      </c>
      <c r="H184" s="25">
        <f>CEILING(342*USD,10)</f>
        <v>26080</v>
      </c>
      <c r="I184" s="8"/>
      <c r="J184" s="9"/>
    </row>
    <row r="185" spans="1:10" ht="30" customHeight="1" x14ac:dyDescent="0.3">
      <c r="A185" s="147"/>
      <c r="B185" s="6" t="s">
        <v>701</v>
      </c>
      <c r="C185" s="43" t="s">
        <v>523</v>
      </c>
      <c r="D185" s="43" t="s">
        <v>51</v>
      </c>
      <c r="E185" s="43" t="s">
        <v>224</v>
      </c>
      <c r="F185" s="43" t="s">
        <v>13</v>
      </c>
      <c r="G185" s="15" t="s">
        <v>658</v>
      </c>
      <c r="H185" s="25">
        <f>CEILING(342*USD,10)</f>
        <v>26080</v>
      </c>
      <c r="I185" s="8"/>
      <c r="J185" s="9"/>
    </row>
    <row r="186" spans="1:10" ht="30" customHeight="1" x14ac:dyDescent="0.3">
      <c r="A186" s="147"/>
      <c r="B186" s="6" t="s">
        <v>702</v>
      </c>
      <c r="C186" s="43" t="s">
        <v>62</v>
      </c>
      <c r="D186" s="43" t="s">
        <v>196</v>
      </c>
      <c r="E186" s="43" t="s">
        <v>224</v>
      </c>
      <c r="F186" s="43" t="s">
        <v>13</v>
      </c>
      <c r="G186" s="15" t="s">
        <v>658</v>
      </c>
      <c r="H186" s="25">
        <f>CEILING(342*USD,10)</f>
        <v>26080</v>
      </c>
      <c r="I186" s="8"/>
      <c r="J186" s="9"/>
    </row>
    <row r="187" spans="1:10" ht="30" customHeight="1" x14ac:dyDescent="0.3">
      <c r="A187" s="147"/>
      <c r="B187" s="6" t="s">
        <v>703</v>
      </c>
      <c r="C187" s="43" t="s">
        <v>177</v>
      </c>
      <c r="D187" s="43" t="s">
        <v>180</v>
      </c>
      <c r="E187" s="43" t="s">
        <v>224</v>
      </c>
      <c r="F187" s="43" t="s">
        <v>13</v>
      </c>
      <c r="G187" s="15" t="s">
        <v>658</v>
      </c>
      <c r="H187" s="25">
        <f>CEILING(342*USD,10)</f>
        <v>26080</v>
      </c>
      <c r="I187" s="8"/>
      <c r="J187" s="9"/>
    </row>
    <row r="188" spans="1:10" ht="20.100000000000001" customHeight="1" x14ac:dyDescent="0.3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</row>
    <row r="189" spans="1:10" ht="30" customHeight="1" x14ac:dyDescent="0.3">
      <c r="A189" s="140" t="s">
        <v>1070</v>
      </c>
      <c r="B189" s="140"/>
      <c r="C189" s="140"/>
      <c r="D189" s="140"/>
      <c r="E189" s="140"/>
      <c r="F189" s="140"/>
      <c r="G189" s="140"/>
      <c r="H189" s="140"/>
      <c r="I189" s="140"/>
      <c r="J189" s="140"/>
    </row>
    <row r="190" spans="1:10" ht="30" customHeight="1" x14ac:dyDescent="0.3">
      <c r="A190" s="43"/>
      <c r="B190" s="38" t="s">
        <v>2</v>
      </c>
      <c r="C190" s="4" t="s">
        <v>42</v>
      </c>
      <c r="D190" s="4" t="s">
        <v>43</v>
      </c>
      <c r="E190" s="38" t="s">
        <v>9</v>
      </c>
      <c r="F190" s="38" t="s">
        <v>10</v>
      </c>
      <c r="G190" s="4" t="s">
        <v>11</v>
      </c>
      <c r="H190" s="4" t="s">
        <v>17</v>
      </c>
      <c r="I190" s="4"/>
      <c r="J190" s="4"/>
    </row>
    <row r="191" spans="1:10" ht="39.9" customHeight="1" x14ac:dyDescent="0.3">
      <c r="A191" s="147"/>
      <c r="B191" s="6" t="s">
        <v>1071</v>
      </c>
      <c r="C191" s="43" t="s">
        <v>64</v>
      </c>
      <c r="D191" s="43" t="s">
        <v>180</v>
      </c>
      <c r="E191" s="43" t="s">
        <v>224</v>
      </c>
      <c r="F191" s="43" t="s">
        <v>13</v>
      </c>
      <c r="G191" s="15" t="s">
        <v>1074</v>
      </c>
      <c r="H191" s="25">
        <f>CEILING(437*USD,10)</f>
        <v>33330</v>
      </c>
      <c r="I191" s="8"/>
      <c r="J191" s="9"/>
    </row>
    <row r="192" spans="1:10" ht="39.9" customHeight="1" x14ac:dyDescent="0.3">
      <c r="A192" s="147"/>
      <c r="B192" s="6" t="s">
        <v>1072</v>
      </c>
      <c r="C192" s="43" t="s">
        <v>517</v>
      </c>
      <c r="D192" s="43" t="s">
        <v>485</v>
      </c>
      <c r="E192" s="43" t="s">
        <v>224</v>
      </c>
      <c r="F192" s="43" t="s">
        <v>13</v>
      </c>
      <c r="G192" s="15" t="s">
        <v>1074</v>
      </c>
      <c r="H192" s="25">
        <f>CEILING(437*USD,10)</f>
        <v>33330</v>
      </c>
      <c r="I192" s="8"/>
      <c r="J192" s="9"/>
    </row>
    <row r="193" spans="1:10" ht="39.9" customHeight="1" x14ac:dyDescent="0.3">
      <c r="A193" s="147"/>
      <c r="B193" s="6" t="s">
        <v>1073</v>
      </c>
      <c r="C193" s="43" t="s">
        <v>547</v>
      </c>
      <c r="D193" s="43" t="s">
        <v>486</v>
      </c>
      <c r="E193" s="43" t="s">
        <v>224</v>
      </c>
      <c r="F193" s="43" t="s">
        <v>13</v>
      </c>
      <c r="G193" s="15" t="s">
        <v>1074</v>
      </c>
      <c r="H193" s="25">
        <f>CEILING(437*USD,10)</f>
        <v>33330</v>
      </c>
      <c r="I193" s="8"/>
      <c r="J193" s="9"/>
    </row>
    <row r="194" spans="1:10" ht="20.100000000000001" customHeight="1" x14ac:dyDescent="0.3">
      <c r="A194" s="149"/>
      <c r="B194" s="149"/>
      <c r="C194" s="149"/>
      <c r="D194" s="149"/>
      <c r="E194" s="149"/>
      <c r="F194" s="149"/>
      <c r="G194" s="149"/>
      <c r="H194" s="149"/>
      <c r="I194" s="149"/>
      <c r="J194" s="149"/>
    </row>
    <row r="195" spans="1:10" ht="30" customHeight="1" x14ac:dyDescent="0.3">
      <c r="A195" s="140" t="s">
        <v>1075</v>
      </c>
      <c r="B195" s="140"/>
      <c r="C195" s="140"/>
      <c r="D195" s="140"/>
      <c r="E195" s="140"/>
      <c r="F195" s="140"/>
      <c r="G195" s="140"/>
      <c r="H195" s="140"/>
      <c r="I195" s="140"/>
      <c r="J195" s="140"/>
    </row>
    <row r="196" spans="1:10" ht="30" customHeight="1" x14ac:dyDescent="0.3">
      <c r="A196" s="43"/>
      <c r="B196" s="38" t="s">
        <v>2</v>
      </c>
      <c r="C196" s="4" t="s">
        <v>42</v>
      </c>
      <c r="D196" s="4" t="s">
        <v>43</v>
      </c>
      <c r="E196" s="38" t="s">
        <v>9</v>
      </c>
      <c r="F196" s="38" t="s">
        <v>10</v>
      </c>
      <c r="G196" s="4" t="s">
        <v>11</v>
      </c>
      <c r="H196" s="4" t="s">
        <v>17</v>
      </c>
      <c r="I196" s="4"/>
      <c r="J196" s="4"/>
    </row>
    <row r="197" spans="1:10" ht="20.100000000000001" customHeight="1" x14ac:dyDescent="0.3">
      <c r="A197" s="147"/>
      <c r="B197" s="6" t="s">
        <v>704</v>
      </c>
      <c r="C197" s="43" t="s">
        <v>523</v>
      </c>
      <c r="D197" s="43" t="s">
        <v>196</v>
      </c>
      <c r="E197" s="43" t="s">
        <v>224</v>
      </c>
      <c r="F197" s="43" t="s">
        <v>13</v>
      </c>
      <c r="G197" s="15" t="s">
        <v>712</v>
      </c>
      <c r="H197" s="7">
        <f>CEILING(538*USD,10)</f>
        <v>41030</v>
      </c>
      <c r="I197" s="8"/>
      <c r="J197" s="9"/>
    </row>
    <row r="198" spans="1:10" ht="20.100000000000001" customHeight="1" x14ac:dyDescent="0.3">
      <c r="A198" s="147"/>
      <c r="B198" s="6" t="s">
        <v>705</v>
      </c>
      <c r="C198" s="43" t="s">
        <v>62</v>
      </c>
      <c r="D198" s="43" t="s">
        <v>180</v>
      </c>
      <c r="E198" s="43" t="s">
        <v>224</v>
      </c>
      <c r="F198" s="43" t="s">
        <v>13</v>
      </c>
      <c r="G198" s="15" t="s">
        <v>712</v>
      </c>
      <c r="H198" s="7">
        <f>CEILING(538*USD,10)</f>
        <v>41030</v>
      </c>
      <c r="I198" s="8"/>
      <c r="J198" s="9"/>
    </row>
    <row r="199" spans="1:10" ht="20.100000000000001" customHeight="1" x14ac:dyDescent="0.3">
      <c r="A199" s="147"/>
      <c r="B199" s="6" t="s">
        <v>706</v>
      </c>
      <c r="C199" s="43" t="s">
        <v>177</v>
      </c>
      <c r="D199" s="43" t="s">
        <v>485</v>
      </c>
      <c r="E199" s="43" t="s">
        <v>224</v>
      </c>
      <c r="F199" s="43" t="s">
        <v>13</v>
      </c>
      <c r="G199" s="15" t="s">
        <v>712</v>
      </c>
      <c r="H199" s="7">
        <f>CEILING(538*USD,10)</f>
        <v>41030</v>
      </c>
      <c r="I199" s="8"/>
      <c r="J199" s="9"/>
    </row>
    <row r="200" spans="1:10" ht="20.100000000000001" customHeight="1" x14ac:dyDescent="0.3">
      <c r="A200" s="147"/>
      <c r="B200" s="6" t="s">
        <v>707</v>
      </c>
      <c r="C200" s="43" t="s">
        <v>66</v>
      </c>
      <c r="D200" s="43" t="s">
        <v>486</v>
      </c>
      <c r="E200" s="43" t="s">
        <v>224</v>
      </c>
      <c r="F200" s="43" t="s">
        <v>13</v>
      </c>
      <c r="G200" s="15" t="s">
        <v>713</v>
      </c>
      <c r="H200" s="7">
        <f>CEILING(553*USD,10)</f>
        <v>42170</v>
      </c>
      <c r="I200" s="8"/>
      <c r="J200" s="9"/>
    </row>
    <row r="201" spans="1:10" ht="20.100000000000001" customHeight="1" x14ac:dyDescent="0.3">
      <c r="A201" s="147"/>
      <c r="B201" s="6" t="s">
        <v>708</v>
      </c>
      <c r="C201" s="43" t="s">
        <v>534</v>
      </c>
      <c r="D201" s="43" t="s">
        <v>711</v>
      </c>
      <c r="E201" s="43" t="s">
        <v>224</v>
      </c>
      <c r="F201" s="43" t="s">
        <v>13</v>
      </c>
      <c r="G201" s="15" t="s">
        <v>713</v>
      </c>
      <c r="H201" s="7">
        <f>CEILING(553*USD,10)</f>
        <v>42170</v>
      </c>
      <c r="I201" s="8"/>
      <c r="J201" s="9"/>
    </row>
    <row r="202" spans="1:10" ht="20.100000000000001" customHeight="1" x14ac:dyDescent="0.3">
      <c r="A202" s="147"/>
      <c r="B202" s="6" t="s">
        <v>709</v>
      </c>
      <c r="C202" s="43" t="s">
        <v>710</v>
      </c>
      <c r="D202" s="43" t="s">
        <v>195</v>
      </c>
      <c r="E202" s="43" t="s">
        <v>224</v>
      </c>
      <c r="F202" s="43" t="s">
        <v>13</v>
      </c>
      <c r="G202" s="15" t="s">
        <v>714</v>
      </c>
      <c r="H202" s="7">
        <f>CEILING(768*USD,10)</f>
        <v>58560</v>
      </c>
      <c r="I202" s="8"/>
      <c r="J202" s="9"/>
    </row>
    <row r="203" spans="1:10" ht="20.100000000000001" customHeight="1" x14ac:dyDescent="0.3">
      <c r="A203" s="149"/>
      <c r="B203" s="149"/>
      <c r="C203" s="149"/>
      <c r="D203" s="149"/>
      <c r="E203" s="149"/>
      <c r="F203" s="149"/>
      <c r="G203" s="149"/>
      <c r="H203" s="149"/>
      <c r="I203" s="149"/>
      <c r="J203" s="149"/>
    </row>
    <row r="204" spans="1:10" ht="30" customHeight="1" x14ac:dyDescent="0.3">
      <c r="A204" s="140" t="s">
        <v>1076</v>
      </c>
      <c r="B204" s="140"/>
      <c r="C204" s="140"/>
      <c r="D204" s="140"/>
      <c r="E204" s="140"/>
      <c r="F204" s="140"/>
      <c r="G204" s="140"/>
      <c r="H204" s="140"/>
      <c r="I204" s="140"/>
      <c r="J204" s="140"/>
    </row>
    <row r="205" spans="1:10" ht="30" customHeight="1" x14ac:dyDescent="0.3">
      <c r="A205" s="43"/>
      <c r="B205" s="38" t="s">
        <v>2</v>
      </c>
      <c r="C205" s="4" t="s">
        <v>42</v>
      </c>
      <c r="D205" s="4" t="s">
        <v>43</v>
      </c>
      <c r="E205" s="38" t="s">
        <v>9</v>
      </c>
      <c r="F205" s="38" t="s">
        <v>10</v>
      </c>
      <c r="G205" s="4" t="s">
        <v>11</v>
      </c>
      <c r="H205" s="4" t="s">
        <v>17</v>
      </c>
      <c r="I205" s="4"/>
      <c r="J205" s="4"/>
    </row>
    <row r="206" spans="1:10" ht="30" customHeight="1" x14ac:dyDescent="0.3">
      <c r="A206" s="147"/>
      <c r="B206" s="6" t="s">
        <v>1231</v>
      </c>
      <c r="C206" s="43" t="s">
        <v>66</v>
      </c>
      <c r="D206" s="43" t="s">
        <v>486</v>
      </c>
      <c r="E206" s="43" t="s">
        <v>224</v>
      </c>
      <c r="F206" s="43" t="s">
        <v>13</v>
      </c>
      <c r="G206" s="15" t="s">
        <v>717</v>
      </c>
      <c r="H206" s="25">
        <f>CEILING(310*USD,10)</f>
        <v>23640</v>
      </c>
      <c r="I206" s="8"/>
      <c r="J206" s="9"/>
    </row>
    <row r="207" spans="1:10" ht="30" customHeight="1" x14ac:dyDescent="0.3">
      <c r="A207" s="147"/>
      <c r="B207" s="6" t="s">
        <v>1232</v>
      </c>
      <c r="C207" s="43" t="s">
        <v>547</v>
      </c>
      <c r="D207" s="43" t="s">
        <v>711</v>
      </c>
      <c r="E207" s="43" t="s">
        <v>224</v>
      </c>
      <c r="F207" s="43" t="s">
        <v>13</v>
      </c>
      <c r="G207" s="15" t="s">
        <v>717</v>
      </c>
      <c r="H207" s="25">
        <f>CEILING(310*USD,10)</f>
        <v>23640</v>
      </c>
      <c r="I207" s="8"/>
      <c r="J207" s="9"/>
    </row>
    <row r="208" spans="1:10" ht="30" customHeight="1" x14ac:dyDescent="0.3">
      <c r="A208" s="147"/>
      <c r="B208" s="6" t="s">
        <v>1233</v>
      </c>
      <c r="C208" s="43" t="s">
        <v>534</v>
      </c>
      <c r="D208" s="43" t="s">
        <v>711</v>
      </c>
      <c r="E208" s="43" t="s">
        <v>224</v>
      </c>
      <c r="F208" s="43" t="s">
        <v>13</v>
      </c>
      <c r="G208" s="15" t="s">
        <v>718</v>
      </c>
      <c r="H208" s="25">
        <f>CEILING(331*USD,10)</f>
        <v>25240</v>
      </c>
      <c r="I208" s="8"/>
      <c r="J208" s="9"/>
    </row>
    <row r="209" spans="1:10" ht="30" customHeight="1" x14ac:dyDescent="0.3">
      <c r="A209" s="147"/>
      <c r="B209" s="6" t="s">
        <v>373</v>
      </c>
      <c r="C209" s="43" t="s">
        <v>715</v>
      </c>
      <c r="D209" s="43" t="s">
        <v>716</v>
      </c>
      <c r="E209" s="43" t="s">
        <v>224</v>
      </c>
      <c r="F209" s="43" t="s">
        <v>13</v>
      </c>
      <c r="G209" s="15" t="s">
        <v>718</v>
      </c>
      <c r="H209" s="25">
        <f>CEILING(331*USD,10)</f>
        <v>25240</v>
      </c>
      <c r="I209" s="8"/>
      <c r="J209" s="9"/>
    </row>
    <row r="210" spans="1:10" ht="20.100000000000001" customHeight="1" x14ac:dyDescent="0.3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</row>
    <row r="211" spans="1:10" ht="30" customHeight="1" x14ac:dyDescent="0.3">
      <c r="A211" s="140" t="s">
        <v>1077</v>
      </c>
      <c r="B211" s="140"/>
      <c r="C211" s="140"/>
      <c r="D211" s="140"/>
      <c r="E211" s="140"/>
      <c r="F211" s="140"/>
      <c r="G211" s="140"/>
      <c r="H211" s="140"/>
      <c r="I211" s="140"/>
      <c r="J211" s="140"/>
    </row>
    <row r="212" spans="1:10" ht="30" customHeight="1" x14ac:dyDescent="0.3">
      <c r="A212" s="43"/>
      <c r="B212" s="38" t="s">
        <v>2</v>
      </c>
      <c r="C212" s="4" t="s">
        <v>42</v>
      </c>
      <c r="D212" s="4" t="s">
        <v>43</v>
      </c>
      <c r="E212" s="38" t="s">
        <v>9</v>
      </c>
      <c r="F212" s="38" t="s">
        <v>10</v>
      </c>
      <c r="G212" s="4" t="s">
        <v>11</v>
      </c>
      <c r="H212" s="4" t="s">
        <v>17</v>
      </c>
      <c r="I212" s="4"/>
      <c r="J212" s="4"/>
    </row>
    <row r="213" spans="1:10" ht="30" customHeight="1" x14ac:dyDescent="0.3">
      <c r="A213" s="147"/>
      <c r="B213" s="6" t="s">
        <v>719</v>
      </c>
      <c r="C213" s="43" t="s">
        <v>723</v>
      </c>
      <c r="D213" s="43" t="s">
        <v>724</v>
      </c>
      <c r="E213" s="43" t="s">
        <v>224</v>
      </c>
      <c r="F213" s="43" t="s">
        <v>13</v>
      </c>
      <c r="G213" s="15" t="s">
        <v>718</v>
      </c>
      <c r="H213" s="25">
        <f>CEILING(296*USD,10)</f>
        <v>22570</v>
      </c>
      <c r="I213" s="8"/>
      <c r="J213" s="9"/>
    </row>
    <row r="214" spans="1:10" ht="30" customHeight="1" x14ac:dyDescent="0.3">
      <c r="A214" s="147"/>
      <c r="B214" s="6" t="s">
        <v>720</v>
      </c>
      <c r="C214" s="43" t="s">
        <v>725</v>
      </c>
      <c r="D214" s="43" t="s">
        <v>726</v>
      </c>
      <c r="E214" s="43" t="s">
        <v>224</v>
      </c>
      <c r="F214" s="43" t="s">
        <v>13</v>
      </c>
      <c r="G214" s="15" t="s">
        <v>718</v>
      </c>
      <c r="H214" s="25">
        <f>CEILING(296*USD,10)</f>
        <v>22570</v>
      </c>
      <c r="I214" s="8"/>
      <c r="J214" s="9"/>
    </row>
    <row r="215" spans="1:10" ht="30" customHeight="1" x14ac:dyDescent="0.3">
      <c r="A215" s="147"/>
      <c r="B215" s="6" t="s">
        <v>721</v>
      </c>
      <c r="C215" s="43" t="s">
        <v>725</v>
      </c>
      <c r="D215" s="43" t="s">
        <v>726</v>
      </c>
      <c r="E215" s="43" t="s">
        <v>224</v>
      </c>
      <c r="F215" s="43" t="s">
        <v>13</v>
      </c>
      <c r="G215" s="15" t="s">
        <v>718</v>
      </c>
      <c r="H215" s="25">
        <f>CEILING(296*USD,10)</f>
        <v>22570</v>
      </c>
      <c r="I215" s="8"/>
      <c r="J215" s="9"/>
    </row>
    <row r="216" spans="1:10" ht="30" customHeight="1" x14ac:dyDescent="0.3">
      <c r="A216" s="147"/>
      <c r="B216" s="6" t="s">
        <v>722</v>
      </c>
      <c r="C216" s="43" t="s">
        <v>727</v>
      </c>
      <c r="D216" s="43" t="s">
        <v>728</v>
      </c>
      <c r="E216" s="43" t="s">
        <v>224</v>
      </c>
      <c r="F216" s="43" t="s">
        <v>13</v>
      </c>
      <c r="G216" s="15" t="s">
        <v>729</v>
      </c>
      <c r="H216" s="25">
        <f>CEILING(498*USD,10)</f>
        <v>37980</v>
      </c>
      <c r="I216" s="8"/>
      <c r="J216" s="9"/>
    </row>
    <row r="217" spans="1:10" ht="20.100000000000001" customHeight="1" x14ac:dyDescent="0.3">
      <c r="A217" s="149"/>
      <c r="B217" s="149"/>
      <c r="C217" s="149"/>
      <c r="D217" s="149"/>
      <c r="E217" s="149"/>
      <c r="F217" s="149"/>
      <c r="G217" s="149"/>
      <c r="H217" s="149"/>
      <c r="I217" s="149"/>
      <c r="J217" s="149"/>
    </row>
    <row r="218" spans="1:10" ht="30" customHeight="1" x14ac:dyDescent="0.3">
      <c r="A218" s="140" t="s">
        <v>1078</v>
      </c>
      <c r="B218" s="140"/>
      <c r="C218" s="140"/>
      <c r="D218" s="140"/>
      <c r="E218" s="140"/>
      <c r="F218" s="140"/>
      <c r="G218" s="140"/>
      <c r="H218" s="140"/>
      <c r="I218" s="140"/>
      <c r="J218" s="140"/>
    </row>
    <row r="219" spans="1:10" ht="30" customHeight="1" x14ac:dyDescent="0.3">
      <c r="A219" s="43"/>
      <c r="B219" s="38" t="s">
        <v>2</v>
      </c>
      <c r="C219" s="4" t="s">
        <v>42</v>
      </c>
      <c r="D219" s="4" t="s">
        <v>43</v>
      </c>
      <c r="E219" s="38" t="s">
        <v>9</v>
      </c>
      <c r="F219" s="38" t="s">
        <v>10</v>
      </c>
      <c r="G219" s="4" t="s">
        <v>11</v>
      </c>
      <c r="H219" s="4" t="s">
        <v>17</v>
      </c>
      <c r="I219" s="4"/>
      <c r="J219" s="4"/>
    </row>
    <row r="220" spans="1:10" ht="60" customHeight="1" x14ac:dyDescent="0.3">
      <c r="A220" s="147"/>
      <c r="B220" s="26" t="s">
        <v>730</v>
      </c>
      <c r="C220" s="43" t="s">
        <v>723</v>
      </c>
      <c r="D220" s="43" t="s">
        <v>724</v>
      </c>
      <c r="E220" s="43" t="s">
        <v>224</v>
      </c>
      <c r="F220" s="43" t="s">
        <v>13</v>
      </c>
      <c r="G220" s="15" t="s">
        <v>733</v>
      </c>
      <c r="H220" s="25">
        <f>CEILING(254*USD,10)</f>
        <v>19370</v>
      </c>
      <c r="I220" s="8"/>
      <c r="J220" s="9"/>
    </row>
    <row r="221" spans="1:10" ht="60" customHeight="1" x14ac:dyDescent="0.3">
      <c r="A221" s="147"/>
      <c r="B221" s="26" t="s">
        <v>731</v>
      </c>
      <c r="C221" s="43" t="s">
        <v>725</v>
      </c>
      <c r="D221" s="43" t="s">
        <v>726</v>
      </c>
      <c r="E221" s="43" t="s">
        <v>224</v>
      </c>
      <c r="F221" s="43" t="s">
        <v>13</v>
      </c>
      <c r="G221" s="15" t="s">
        <v>733</v>
      </c>
      <c r="H221" s="25">
        <f>CEILING(254*USD,10)</f>
        <v>19370</v>
      </c>
      <c r="I221" s="8"/>
      <c r="J221" s="9"/>
    </row>
    <row r="222" spans="1:10" ht="20.100000000000001" customHeight="1" x14ac:dyDescent="0.3">
      <c r="A222" s="149"/>
      <c r="B222" s="149"/>
      <c r="C222" s="149"/>
      <c r="D222" s="149"/>
      <c r="E222" s="149"/>
      <c r="F222" s="149"/>
      <c r="G222" s="149"/>
      <c r="H222" s="149"/>
      <c r="I222" s="149"/>
      <c r="J222" s="149"/>
    </row>
    <row r="223" spans="1:10" ht="30" customHeight="1" x14ac:dyDescent="0.3">
      <c r="A223" s="140" t="s">
        <v>1091</v>
      </c>
      <c r="B223" s="140"/>
      <c r="C223" s="140"/>
      <c r="D223" s="140"/>
      <c r="E223" s="140"/>
      <c r="F223" s="140"/>
      <c r="G223" s="140"/>
      <c r="H223" s="140"/>
      <c r="I223" s="140"/>
      <c r="J223" s="140"/>
    </row>
    <row r="224" spans="1:10" ht="30" customHeight="1" x14ac:dyDescent="0.3">
      <c r="A224" s="43"/>
      <c r="B224" s="38" t="s">
        <v>2</v>
      </c>
      <c r="C224" s="4" t="s">
        <v>42</v>
      </c>
      <c r="D224" s="4" t="s">
        <v>43</v>
      </c>
      <c r="E224" s="38" t="s">
        <v>9</v>
      </c>
      <c r="F224" s="38" t="s">
        <v>10</v>
      </c>
      <c r="G224" s="4" t="s">
        <v>11</v>
      </c>
      <c r="H224" s="4" t="s">
        <v>17</v>
      </c>
      <c r="I224" s="4"/>
      <c r="J224" s="4"/>
    </row>
    <row r="225" spans="1:10" ht="30" customHeight="1" x14ac:dyDescent="0.3">
      <c r="A225" s="147"/>
      <c r="B225" s="6" t="s">
        <v>1079</v>
      </c>
      <c r="C225" s="43" t="s">
        <v>723</v>
      </c>
      <c r="D225" s="43" t="s">
        <v>724</v>
      </c>
      <c r="E225" s="43" t="s">
        <v>224</v>
      </c>
      <c r="F225" s="43" t="s">
        <v>13</v>
      </c>
      <c r="G225" s="15" t="s">
        <v>1134</v>
      </c>
      <c r="H225" s="7">
        <f>CEILING(341*USD,10)</f>
        <v>26010</v>
      </c>
      <c r="I225" s="8"/>
      <c r="J225" s="9"/>
    </row>
    <row r="226" spans="1:10" ht="30" customHeight="1" x14ac:dyDescent="0.3">
      <c r="A226" s="147"/>
      <c r="B226" s="6" t="s">
        <v>1080</v>
      </c>
      <c r="C226" s="43" t="s">
        <v>725</v>
      </c>
      <c r="D226" s="43" t="s">
        <v>726</v>
      </c>
      <c r="E226" s="43" t="s">
        <v>224</v>
      </c>
      <c r="F226" s="43" t="s">
        <v>13</v>
      </c>
      <c r="G226" s="15" t="s">
        <v>1134</v>
      </c>
      <c r="H226" s="7">
        <f>CEILING(341*USD,10)</f>
        <v>26010</v>
      </c>
      <c r="I226" s="8"/>
      <c r="J226" s="9"/>
    </row>
    <row r="227" spans="1:10" ht="30" customHeight="1" x14ac:dyDescent="0.3">
      <c r="A227" s="147"/>
      <c r="B227" s="6" t="s">
        <v>1081</v>
      </c>
      <c r="C227" s="43" t="s">
        <v>727</v>
      </c>
      <c r="D227" s="43" t="s">
        <v>728</v>
      </c>
      <c r="E227" s="43" t="s">
        <v>224</v>
      </c>
      <c r="F227" s="43" t="s">
        <v>13</v>
      </c>
      <c r="G227" s="15" t="s">
        <v>1087</v>
      </c>
      <c r="H227" s="7">
        <f>CEILING(532*USD,10)</f>
        <v>40570</v>
      </c>
      <c r="I227" s="8"/>
      <c r="J227" s="9"/>
    </row>
    <row r="228" spans="1:10" ht="30" customHeight="1" x14ac:dyDescent="0.3">
      <c r="A228" s="147"/>
      <c r="B228" s="6" t="s">
        <v>1082</v>
      </c>
      <c r="C228" s="43" t="s">
        <v>727</v>
      </c>
      <c r="D228" s="43" t="s">
        <v>728</v>
      </c>
      <c r="E228" s="43" t="s">
        <v>224</v>
      </c>
      <c r="F228" s="43" t="s">
        <v>13</v>
      </c>
      <c r="G228" s="15" t="s">
        <v>1088</v>
      </c>
      <c r="H228" s="7">
        <f>CEILING(576*USD,10)</f>
        <v>43920</v>
      </c>
      <c r="I228" s="8"/>
      <c r="J228" s="9"/>
    </row>
    <row r="229" spans="1:10" ht="30" customHeight="1" x14ac:dyDescent="0.3">
      <c r="A229" s="147"/>
      <c r="B229" s="6" t="s">
        <v>1083</v>
      </c>
      <c r="C229" s="43" t="s">
        <v>727</v>
      </c>
      <c r="D229" s="43" t="s">
        <v>728</v>
      </c>
      <c r="E229" s="43" t="s">
        <v>224</v>
      </c>
      <c r="F229" s="43" t="s">
        <v>13</v>
      </c>
      <c r="G229" s="15" t="s">
        <v>1089</v>
      </c>
      <c r="H229" s="7">
        <f>CEILING(624*USD,10)</f>
        <v>47580</v>
      </c>
      <c r="I229" s="8"/>
      <c r="J229" s="9"/>
    </row>
    <row r="230" spans="1:10" ht="30" customHeight="1" x14ac:dyDescent="0.3">
      <c r="A230" s="147"/>
      <c r="B230" s="6" t="s">
        <v>1084</v>
      </c>
      <c r="C230" s="43" t="s">
        <v>787</v>
      </c>
      <c r="D230" s="43" t="s">
        <v>788</v>
      </c>
      <c r="E230" s="43" t="s">
        <v>224</v>
      </c>
      <c r="F230" s="43" t="s">
        <v>13</v>
      </c>
      <c r="G230" s="15" t="s">
        <v>1087</v>
      </c>
      <c r="H230" s="7">
        <f>CEILING(576*USD,10)</f>
        <v>43920</v>
      </c>
      <c r="I230" s="8"/>
      <c r="J230" s="9"/>
    </row>
    <row r="231" spans="1:10" ht="30" customHeight="1" x14ac:dyDescent="0.3">
      <c r="A231" s="147"/>
      <c r="B231" s="6" t="s">
        <v>1085</v>
      </c>
      <c r="C231" s="43" t="s">
        <v>787</v>
      </c>
      <c r="D231" s="43" t="s">
        <v>788</v>
      </c>
      <c r="E231" s="43" t="s">
        <v>224</v>
      </c>
      <c r="F231" s="43" t="s">
        <v>13</v>
      </c>
      <c r="G231" s="15" t="s">
        <v>1088</v>
      </c>
      <c r="H231" s="7">
        <f>CEILING(597*USD,10)</f>
        <v>45530</v>
      </c>
      <c r="I231" s="8"/>
      <c r="J231" s="9"/>
    </row>
    <row r="232" spans="1:10" ht="30" customHeight="1" x14ac:dyDescent="0.3">
      <c r="A232" s="147"/>
      <c r="B232" s="6" t="s">
        <v>1086</v>
      </c>
      <c r="C232" s="43" t="s">
        <v>787</v>
      </c>
      <c r="D232" s="43" t="s">
        <v>788</v>
      </c>
      <c r="E232" s="43" t="s">
        <v>224</v>
      </c>
      <c r="F232" s="43" t="s">
        <v>13</v>
      </c>
      <c r="G232" s="15" t="s">
        <v>1089</v>
      </c>
      <c r="H232" s="7">
        <f>CEILING(645*USD,10)</f>
        <v>49190</v>
      </c>
      <c r="I232" s="8"/>
      <c r="J232" s="9"/>
    </row>
    <row r="233" spans="1:10" ht="20.100000000000001" customHeight="1" x14ac:dyDescent="0.3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</row>
    <row r="234" spans="1:10" ht="30" customHeight="1" x14ac:dyDescent="0.3">
      <c r="A234" s="140" t="s">
        <v>1090</v>
      </c>
      <c r="B234" s="140"/>
      <c r="C234" s="140"/>
      <c r="D234" s="140"/>
      <c r="E234" s="140"/>
      <c r="F234" s="140"/>
      <c r="G234" s="140"/>
      <c r="H234" s="140"/>
      <c r="I234" s="140"/>
      <c r="J234" s="140"/>
    </row>
    <row r="235" spans="1:10" ht="30" customHeight="1" x14ac:dyDescent="0.3">
      <c r="A235" s="43"/>
      <c r="B235" s="38" t="s">
        <v>2</v>
      </c>
      <c r="C235" s="4" t="s">
        <v>42</v>
      </c>
      <c r="D235" s="4" t="s">
        <v>43</v>
      </c>
      <c r="E235" s="38" t="s">
        <v>9</v>
      </c>
      <c r="F235" s="38" t="s">
        <v>10</v>
      </c>
      <c r="G235" s="4" t="s">
        <v>11</v>
      </c>
      <c r="H235" s="4" t="s">
        <v>17</v>
      </c>
      <c r="I235" s="4"/>
      <c r="J235" s="4"/>
    </row>
    <row r="236" spans="1:10" ht="30" customHeight="1" x14ac:dyDescent="0.3">
      <c r="A236" s="147"/>
      <c r="B236" s="6" t="s">
        <v>737</v>
      </c>
      <c r="C236" s="43" t="s">
        <v>215</v>
      </c>
      <c r="D236" s="43" t="s">
        <v>219</v>
      </c>
      <c r="E236" s="43" t="s">
        <v>224</v>
      </c>
      <c r="F236" s="43" t="s">
        <v>13</v>
      </c>
      <c r="G236" s="15" t="s">
        <v>738</v>
      </c>
      <c r="H236" s="25">
        <f>CEILING(305*USD,10)</f>
        <v>23260</v>
      </c>
      <c r="I236" s="8"/>
      <c r="J236" s="9"/>
    </row>
    <row r="237" spans="1:10" ht="30" customHeight="1" x14ac:dyDescent="0.3">
      <c r="A237" s="147"/>
      <c r="B237" s="26" t="s">
        <v>734</v>
      </c>
      <c r="C237" s="43" t="s">
        <v>723</v>
      </c>
      <c r="D237" s="43" t="s">
        <v>724</v>
      </c>
      <c r="E237" s="43" t="s">
        <v>224</v>
      </c>
      <c r="F237" s="43" t="s">
        <v>13</v>
      </c>
      <c r="G237" s="15" t="s">
        <v>738</v>
      </c>
      <c r="H237" s="25">
        <f>CEILING(305*USD,10)</f>
        <v>23260</v>
      </c>
      <c r="I237" s="8"/>
      <c r="J237" s="9"/>
    </row>
    <row r="238" spans="1:10" ht="30" customHeight="1" x14ac:dyDescent="0.3">
      <c r="A238" s="147"/>
      <c r="B238" s="26" t="s">
        <v>735</v>
      </c>
      <c r="C238" s="43" t="s">
        <v>725</v>
      </c>
      <c r="D238" s="43" t="s">
        <v>726</v>
      </c>
      <c r="E238" s="43" t="s">
        <v>224</v>
      </c>
      <c r="F238" s="43" t="s">
        <v>13</v>
      </c>
      <c r="G238" s="15" t="s">
        <v>738</v>
      </c>
      <c r="H238" s="25">
        <f>CEILING(305*USD,10)</f>
        <v>23260</v>
      </c>
      <c r="I238" s="8"/>
      <c r="J238" s="9"/>
    </row>
    <row r="239" spans="1:10" ht="30" customHeight="1" x14ac:dyDescent="0.3">
      <c r="A239" s="147"/>
      <c r="B239" s="26" t="s">
        <v>736</v>
      </c>
      <c r="C239" s="43" t="s">
        <v>732</v>
      </c>
      <c r="D239" s="43" t="s">
        <v>728</v>
      </c>
      <c r="E239" s="43" t="s">
        <v>224</v>
      </c>
      <c r="F239" s="43" t="s">
        <v>13</v>
      </c>
      <c r="G239" s="15" t="s">
        <v>738</v>
      </c>
      <c r="H239" s="25">
        <f>CEILING(305*USD,10)</f>
        <v>23260</v>
      </c>
      <c r="I239" s="8"/>
      <c r="J239" s="9"/>
    </row>
    <row r="240" spans="1:10" ht="20.100000000000001" customHeight="1" x14ac:dyDescent="0.3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</row>
    <row r="241" spans="1:10" ht="30" customHeight="1" x14ac:dyDescent="0.3">
      <c r="A241" s="140" t="s">
        <v>1092</v>
      </c>
      <c r="B241" s="140"/>
      <c r="C241" s="140"/>
      <c r="D241" s="140"/>
      <c r="E241" s="140"/>
      <c r="F241" s="140"/>
      <c r="G241" s="140"/>
      <c r="H241" s="140"/>
      <c r="I241" s="140"/>
      <c r="J241" s="140"/>
    </row>
    <row r="242" spans="1:10" ht="30" customHeight="1" x14ac:dyDescent="0.3">
      <c r="A242" s="43"/>
      <c r="B242" s="38" t="s">
        <v>2</v>
      </c>
      <c r="C242" s="4" t="s">
        <v>42</v>
      </c>
      <c r="D242" s="4" t="s">
        <v>43</v>
      </c>
      <c r="E242" s="38" t="s">
        <v>9</v>
      </c>
      <c r="F242" s="38" t="s">
        <v>10</v>
      </c>
      <c r="G242" s="4" t="s">
        <v>11</v>
      </c>
      <c r="H242" s="4" t="s">
        <v>17</v>
      </c>
      <c r="I242" s="4"/>
      <c r="J242" s="4"/>
    </row>
    <row r="243" spans="1:10" ht="36.9" customHeight="1" x14ac:dyDescent="0.3">
      <c r="A243" s="147"/>
      <c r="B243" s="27" t="s">
        <v>1549</v>
      </c>
      <c r="C243" s="43" t="s">
        <v>214</v>
      </c>
      <c r="D243" s="43" t="s">
        <v>217</v>
      </c>
      <c r="E243" s="43" t="s">
        <v>224</v>
      </c>
      <c r="F243" s="43" t="s">
        <v>13</v>
      </c>
      <c r="G243" s="15" t="s">
        <v>739</v>
      </c>
      <c r="H243" s="7">
        <f>CEILING(128*USD,10)</f>
        <v>9760</v>
      </c>
      <c r="I243" s="8"/>
      <c r="J243" s="9"/>
    </row>
    <row r="244" spans="1:10" ht="36.9" customHeight="1" x14ac:dyDescent="0.3">
      <c r="A244" s="147"/>
      <c r="B244" s="27" t="s">
        <v>1550</v>
      </c>
      <c r="C244" s="43" t="s">
        <v>214</v>
      </c>
      <c r="D244" s="43" t="s">
        <v>217</v>
      </c>
      <c r="E244" s="43" t="s">
        <v>224</v>
      </c>
      <c r="F244" s="43" t="s">
        <v>13</v>
      </c>
      <c r="G244" s="15" t="s">
        <v>739</v>
      </c>
      <c r="H244" s="7">
        <f>CEILING(142*USD,10)</f>
        <v>10830</v>
      </c>
      <c r="I244" s="8"/>
      <c r="J244" s="9"/>
    </row>
    <row r="245" spans="1:10" ht="36.9" customHeight="1" x14ac:dyDescent="0.3">
      <c r="A245" s="147"/>
      <c r="B245" s="27" t="s">
        <v>1551</v>
      </c>
      <c r="C245" s="43" t="s">
        <v>213</v>
      </c>
      <c r="D245" s="43" t="s">
        <v>218</v>
      </c>
      <c r="E245" s="43" t="s">
        <v>224</v>
      </c>
      <c r="F245" s="43" t="s">
        <v>13</v>
      </c>
      <c r="G245" s="15" t="s">
        <v>739</v>
      </c>
      <c r="H245" s="7">
        <f>CEILING(128*USD,10)</f>
        <v>9760</v>
      </c>
      <c r="I245" s="8"/>
      <c r="J245" s="9"/>
    </row>
    <row r="246" spans="1:10" ht="36.9" customHeight="1" x14ac:dyDescent="0.3">
      <c r="A246" s="147"/>
      <c r="B246" s="27" t="s">
        <v>1552</v>
      </c>
      <c r="C246" s="43" t="s">
        <v>213</v>
      </c>
      <c r="D246" s="43" t="s">
        <v>218</v>
      </c>
      <c r="E246" s="43" t="s">
        <v>224</v>
      </c>
      <c r="F246" s="43" t="s">
        <v>13</v>
      </c>
      <c r="G246" s="15" t="s">
        <v>739</v>
      </c>
      <c r="H246" s="7">
        <f>CEILING(142*USD,10)</f>
        <v>10830</v>
      </c>
      <c r="I246" s="8"/>
      <c r="J246" s="9"/>
    </row>
    <row r="247" spans="1:10" ht="36.9" customHeight="1" x14ac:dyDescent="0.3">
      <c r="A247" s="147"/>
      <c r="B247" s="27" t="s">
        <v>1553</v>
      </c>
      <c r="C247" s="43" t="s">
        <v>215</v>
      </c>
      <c r="D247" s="43" t="s">
        <v>219</v>
      </c>
      <c r="E247" s="43" t="s">
        <v>224</v>
      </c>
      <c r="F247" s="43" t="s">
        <v>13</v>
      </c>
      <c r="G247" s="15" t="s">
        <v>739</v>
      </c>
      <c r="H247" s="7">
        <f>CEILING(128*USD,10)</f>
        <v>9760</v>
      </c>
      <c r="I247" s="8"/>
      <c r="J247" s="9"/>
    </row>
    <row r="248" spans="1:10" ht="36.9" customHeight="1" x14ac:dyDescent="0.3">
      <c r="A248" s="147"/>
      <c r="B248" s="27" t="s">
        <v>1554</v>
      </c>
      <c r="C248" s="43" t="s">
        <v>215</v>
      </c>
      <c r="D248" s="43" t="s">
        <v>219</v>
      </c>
      <c r="E248" s="43" t="s">
        <v>224</v>
      </c>
      <c r="F248" s="43" t="s">
        <v>13</v>
      </c>
      <c r="G248" s="15" t="s">
        <v>739</v>
      </c>
      <c r="H248" s="7">
        <f>CEILING(142*USD,10)</f>
        <v>10830</v>
      </c>
      <c r="I248" s="8"/>
      <c r="J248" s="9"/>
    </row>
    <row r="249" spans="1:10" ht="20.100000000000001" customHeight="1" x14ac:dyDescent="0.3">
      <c r="A249" s="149"/>
      <c r="B249" s="149"/>
      <c r="C249" s="149"/>
      <c r="D249" s="149"/>
      <c r="E249" s="149"/>
      <c r="F249" s="149"/>
      <c r="G249" s="149"/>
      <c r="H249" s="149"/>
      <c r="I249" s="149"/>
      <c r="J249" s="149"/>
    </row>
    <row r="250" spans="1:10" ht="30" customHeight="1" x14ac:dyDescent="0.3">
      <c r="A250" s="140" t="s">
        <v>1093</v>
      </c>
      <c r="B250" s="140"/>
      <c r="C250" s="140"/>
      <c r="D250" s="140"/>
      <c r="E250" s="140"/>
      <c r="F250" s="140"/>
      <c r="G250" s="140"/>
      <c r="H250" s="140"/>
      <c r="I250" s="140"/>
      <c r="J250" s="140"/>
    </row>
    <row r="251" spans="1:10" ht="30" customHeight="1" x14ac:dyDescent="0.3">
      <c r="A251" s="43"/>
      <c r="B251" s="38" t="s">
        <v>2</v>
      </c>
      <c r="C251" s="4" t="s">
        <v>42</v>
      </c>
      <c r="D251" s="4" t="s">
        <v>43</v>
      </c>
      <c r="E251" s="38" t="s">
        <v>9</v>
      </c>
      <c r="F251" s="38" t="s">
        <v>10</v>
      </c>
      <c r="G251" s="4" t="s">
        <v>11</v>
      </c>
      <c r="H251" s="4" t="s">
        <v>17</v>
      </c>
      <c r="I251" s="4"/>
      <c r="J251" s="4"/>
    </row>
    <row r="252" spans="1:10" ht="39.9" customHeight="1" x14ac:dyDescent="0.3">
      <c r="A252" s="147"/>
      <c r="B252" s="27" t="s">
        <v>830</v>
      </c>
      <c r="C252" s="43" t="s">
        <v>214</v>
      </c>
      <c r="D252" s="43" t="s">
        <v>217</v>
      </c>
      <c r="E252" s="43" t="s">
        <v>224</v>
      </c>
      <c r="F252" s="43" t="s">
        <v>13</v>
      </c>
      <c r="G252" s="15" t="s">
        <v>836</v>
      </c>
      <c r="H252" s="7">
        <f>CEILING(153*USD,10)</f>
        <v>11670</v>
      </c>
      <c r="I252" s="8"/>
      <c r="J252" s="9"/>
    </row>
    <row r="253" spans="1:10" ht="39.9" customHeight="1" x14ac:dyDescent="0.3">
      <c r="A253" s="147"/>
      <c r="B253" s="27" t="s">
        <v>831</v>
      </c>
      <c r="C253" s="43" t="s">
        <v>214</v>
      </c>
      <c r="D253" s="43" t="s">
        <v>217</v>
      </c>
      <c r="E253" s="43" t="s">
        <v>224</v>
      </c>
      <c r="F253" s="43" t="s">
        <v>13</v>
      </c>
      <c r="G253" s="15" t="s">
        <v>836</v>
      </c>
      <c r="H253" s="7">
        <f>CEILING(168*USD,10)</f>
        <v>12810</v>
      </c>
      <c r="I253" s="8"/>
      <c r="J253" s="9"/>
    </row>
    <row r="254" spans="1:10" ht="39.9" customHeight="1" x14ac:dyDescent="0.3">
      <c r="A254" s="147"/>
      <c r="B254" s="27" t="s">
        <v>832</v>
      </c>
      <c r="C254" s="43" t="s">
        <v>213</v>
      </c>
      <c r="D254" s="43" t="s">
        <v>218</v>
      </c>
      <c r="E254" s="43" t="s">
        <v>224</v>
      </c>
      <c r="F254" s="43" t="s">
        <v>13</v>
      </c>
      <c r="G254" s="15" t="s">
        <v>836</v>
      </c>
      <c r="H254" s="7">
        <f>CEILING(153*USD,10)</f>
        <v>11670</v>
      </c>
      <c r="I254" s="8"/>
      <c r="J254" s="9"/>
    </row>
    <row r="255" spans="1:10" ht="39.9" customHeight="1" x14ac:dyDescent="0.3">
      <c r="A255" s="147"/>
      <c r="B255" s="27" t="s">
        <v>833</v>
      </c>
      <c r="C255" s="43" t="s">
        <v>213</v>
      </c>
      <c r="D255" s="43" t="s">
        <v>218</v>
      </c>
      <c r="E255" s="43" t="s">
        <v>224</v>
      </c>
      <c r="F255" s="43" t="s">
        <v>13</v>
      </c>
      <c r="G255" s="15" t="s">
        <v>836</v>
      </c>
      <c r="H255" s="7">
        <f>CEILING(168*USD,10)</f>
        <v>12810</v>
      </c>
      <c r="I255" s="8"/>
      <c r="J255" s="9"/>
    </row>
    <row r="256" spans="1:10" ht="39.9" customHeight="1" x14ac:dyDescent="0.3">
      <c r="A256" s="147"/>
      <c r="B256" s="27" t="s">
        <v>834</v>
      </c>
      <c r="C256" s="43" t="s">
        <v>215</v>
      </c>
      <c r="D256" s="43" t="s">
        <v>219</v>
      </c>
      <c r="E256" s="43" t="s">
        <v>224</v>
      </c>
      <c r="F256" s="43" t="s">
        <v>13</v>
      </c>
      <c r="G256" s="15" t="s">
        <v>836</v>
      </c>
      <c r="H256" s="7">
        <f>CEILING(153*USD,10)</f>
        <v>11670</v>
      </c>
      <c r="I256" s="8"/>
      <c r="J256" s="9"/>
    </row>
    <row r="257" spans="1:10" ht="39.9" customHeight="1" x14ac:dyDescent="0.3">
      <c r="A257" s="147"/>
      <c r="B257" s="27" t="s">
        <v>835</v>
      </c>
      <c r="C257" s="43" t="s">
        <v>215</v>
      </c>
      <c r="D257" s="43" t="s">
        <v>219</v>
      </c>
      <c r="E257" s="43" t="s">
        <v>224</v>
      </c>
      <c r="F257" s="43" t="s">
        <v>13</v>
      </c>
      <c r="G257" s="15" t="s">
        <v>836</v>
      </c>
      <c r="H257" s="7">
        <f>CEILING(168*USD,10)</f>
        <v>12810</v>
      </c>
      <c r="I257" s="8"/>
      <c r="J257" s="9"/>
    </row>
    <row r="258" spans="1:10" ht="20.100000000000001" customHeight="1" x14ac:dyDescent="0.3">
      <c r="A258" s="149"/>
      <c r="B258" s="149"/>
      <c r="C258" s="149"/>
      <c r="D258" s="149"/>
      <c r="E258" s="149"/>
      <c r="F258" s="149"/>
      <c r="G258" s="149"/>
      <c r="H258" s="149"/>
      <c r="I258" s="149"/>
      <c r="J258" s="149"/>
    </row>
    <row r="259" spans="1:10" ht="30" customHeight="1" x14ac:dyDescent="0.3">
      <c r="A259" s="140" t="s">
        <v>1094</v>
      </c>
      <c r="B259" s="140"/>
      <c r="C259" s="140"/>
      <c r="D259" s="140"/>
      <c r="E259" s="140"/>
      <c r="F259" s="140"/>
      <c r="G259" s="140"/>
      <c r="H259" s="140"/>
      <c r="I259" s="140"/>
      <c r="J259" s="140"/>
    </row>
    <row r="260" spans="1:10" ht="30" customHeight="1" x14ac:dyDescent="0.3">
      <c r="A260" s="43"/>
      <c r="B260" s="38" t="s">
        <v>2</v>
      </c>
      <c r="C260" s="4" t="s">
        <v>42</v>
      </c>
      <c r="D260" s="4" t="s">
        <v>43</v>
      </c>
      <c r="E260" s="38" t="s">
        <v>9</v>
      </c>
      <c r="F260" s="38" t="s">
        <v>10</v>
      </c>
      <c r="G260" s="4" t="s">
        <v>11</v>
      </c>
      <c r="H260" s="4" t="s">
        <v>17</v>
      </c>
      <c r="I260" s="4"/>
      <c r="J260" s="4"/>
    </row>
    <row r="261" spans="1:10" ht="24.9" customHeight="1" x14ac:dyDescent="0.3">
      <c r="A261" s="147"/>
      <c r="B261" s="27" t="s">
        <v>838</v>
      </c>
      <c r="C261" s="10" t="s">
        <v>214</v>
      </c>
      <c r="D261" s="43" t="s">
        <v>217</v>
      </c>
      <c r="E261" s="43" t="s">
        <v>224</v>
      </c>
      <c r="F261" s="43" t="s">
        <v>13</v>
      </c>
      <c r="G261" s="15" t="s">
        <v>848</v>
      </c>
      <c r="H261" s="7">
        <f>CEILING(220*USD,10)</f>
        <v>16780</v>
      </c>
      <c r="I261" s="8"/>
      <c r="J261" s="9"/>
    </row>
    <row r="262" spans="1:10" ht="24.9" customHeight="1" x14ac:dyDescent="0.3">
      <c r="A262" s="147"/>
      <c r="B262" s="27" t="s">
        <v>839</v>
      </c>
      <c r="C262" s="10" t="s">
        <v>213</v>
      </c>
      <c r="D262" s="43" t="s">
        <v>218</v>
      </c>
      <c r="E262" s="43" t="s">
        <v>224</v>
      </c>
      <c r="F262" s="43" t="s">
        <v>13</v>
      </c>
      <c r="G262" s="15" t="s">
        <v>848</v>
      </c>
      <c r="H262" s="7">
        <f>CEILING(220*USD,10)</f>
        <v>16780</v>
      </c>
      <c r="I262" s="8"/>
      <c r="J262" s="9"/>
    </row>
    <row r="263" spans="1:10" ht="24.9" customHeight="1" x14ac:dyDescent="0.3">
      <c r="A263" s="147"/>
      <c r="B263" s="27" t="s">
        <v>840</v>
      </c>
      <c r="C263" s="10" t="s">
        <v>213</v>
      </c>
      <c r="D263" s="43" t="s">
        <v>218</v>
      </c>
      <c r="E263" s="43" t="s">
        <v>224</v>
      </c>
      <c r="F263" s="43" t="s">
        <v>13</v>
      </c>
      <c r="G263" s="15" t="s">
        <v>849</v>
      </c>
      <c r="H263" s="7">
        <f>CEILING(229*USD,10)</f>
        <v>17470</v>
      </c>
      <c r="I263" s="8"/>
      <c r="J263" s="9"/>
    </row>
    <row r="264" spans="1:10" ht="24.9" customHeight="1" x14ac:dyDescent="0.3">
      <c r="A264" s="147"/>
      <c r="B264" s="27" t="s">
        <v>841</v>
      </c>
      <c r="C264" s="10" t="s">
        <v>215</v>
      </c>
      <c r="D264" s="43" t="s">
        <v>219</v>
      </c>
      <c r="E264" s="43" t="s">
        <v>224</v>
      </c>
      <c r="F264" s="43" t="s">
        <v>13</v>
      </c>
      <c r="G264" s="15" t="s">
        <v>837</v>
      </c>
      <c r="H264" s="7">
        <f>CEILING(220*USD,10)</f>
        <v>16780</v>
      </c>
      <c r="I264" s="8"/>
      <c r="J264" s="9"/>
    </row>
    <row r="265" spans="1:10" ht="24.9" customHeight="1" x14ac:dyDescent="0.3">
      <c r="A265" s="147"/>
      <c r="B265" s="27" t="s">
        <v>842</v>
      </c>
      <c r="C265" s="10" t="s">
        <v>215</v>
      </c>
      <c r="D265" s="43" t="s">
        <v>219</v>
      </c>
      <c r="E265" s="43" t="s">
        <v>224</v>
      </c>
      <c r="F265" s="43" t="s">
        <v>13</v>
      </c>
      <c r="G265" s="15" t="s">
        <v>836</v>
      </c>
      <c r="H265" s="7">
        <f>CEILING(229*USD,10)</f>
        <v>17470</v>
      </c>
      <c r="I265" s="8"/>
      <c r="J265" s="9"/>
    </row>
    <row r="266" spans="1:10" ht="24.9" customHeight="1" x14ac:dyDescent="0.3">
      <c r="A266" s="147"/>
      <c r="B266" s="27" t="s">
        <v>843</v>
      </c>
      <c r="C266" s="10" t="s">
        <v>214</v>
      </c>
      <c r="D266" s="43" t="s">
        <v>217</v>
      </c>
      <c r="E266" s="43" t="s">
        <v>224</v>
      </c>
      <c r="F266" s="43" t="s">
        <v>13</v>
      </c>
      <c r="G266" s="15" t="s">
        <v>836</v>
      </c>
      <c r="H266" s="7">
        <f>CEILING(213*USD,10)</f>
        <v>16250</v>
      </c>
      <c r="I266" s="8"/>
      <c r="J266" s="9"/>
    </row>
    <row r="267" spans="1:10" ht="24.9" customHeight="1" x14ac:dyDescent="0.3">
      <c r="A267" s="147"/>
      <c r="B267" s="27" t="s">
        <v>844</v>
      </c>
      <c r="C267" s="10" t="s">
        <v>213</v>
      </c>
      <c r="D267" s="43" t="s">
        <v>218</v>
      </c>
      <c r="E267" s="43" t="s">
        <v>224</v>
      </c>
      <c r="F267" s="43" t="s">
        <v>13</v>
      </c>
      <c r="G267" s="15" t="s">
        <v>836</v>
      </c>
      <c r="H267" s="7">
        <f>CEILING(213*USD,10)</f>
        <v>16250</v>
      </c>
      <c r="I267" s="8"/>
      <c r="J267" s="9"/>
    </row>
    <row r="268" spans="1:10" ht="24.9" customHeight="1" x14ac:dyDescent="0.3">
      <c r="A268" s="147"/>
      <c r="B268" s="27" t="s">
        <v>845</v>
      </c>
      <c r="C268" s="10" t="s">
        <v>213</v>
      </c>
      <c r="D268" s="43" t="s">
        <v>218</v>
      </c>
      <c r="E268" s="43" t="s">
        <v>224</v>
      </c>
      <c r="F268" s="43" t="s">
        <v>13</v>
      </c>
      <c r="G268" s="15" t="s">
        <v>836</v>
      </c>
      <c r="H268" s="7">
        <f>CEILING(222*USD,10)</f>
        <v>16930</v>
      </c>
      <c r="I268" s="8"/>
      <c r="J268" s="9"/>
    </row>
    <row r="269" spans="1:10" ht="24.9" customHeight="1" x14ac:dyDescent="0.3">
      <c r="A269" s="147"/>
      <c r="B269" s="27" t="s">
        <v>846</v>
      </c>
      <c r="C269" s="10" t="s">
        <v>215</v>
      </c>
      <c r="D269" s="43" t="s">
        <v>219</v>
      </c>
      <c r="E269" s="43" t="s">
        <v>224</v>
      </c>
      <c r="F269" s="43" t="s">
        <v>13</v>
      </c>
      <c r="G269" s="15" t="s">
        <v>837</v>
      </c>
      <c r="H269" s="7">
        <f>CEILING(213*USD,10)</f>
        <v>16250</v>
      </c>
      <c r="I269" s="8"/>
      <c r="J269" s="9"/>
    </row>
    <row r="270" spans="1:10" ht="24.9" customHeight="1" x14ac:dyDescent="0.3">
      <c r="A270" s="147"/>
      <c r="B270" s="27" t="s">
        <v>847</v>
      </c>
      <c r="C270" s="10" t="s">
        <v>215</v>
      </c>
      <c r="D270" s="43" t="s">
        <v>219</v>
      </c>
      <c r="E270" s="43" t="s">
        <v>224</v>
      </c>
      <c r="F270" s="43" t="s">
        <v>13</v>
      </c>
      <c r="G270" s="15" t="s">
        <v>836</v>
      </c>
      <c r="H270" s="7">
        <f>CEILING(222*USD,10)</f>
        <v>16930</v>
      </c>
      <c r="I270" s="8"/>
      <c r="J270" s="9"/>
    </row>
    <row r="271" spans="1:10" ht="20.100000000000001" customHeight="1" x14ac:dyDescent="0.3">
      <c r="A271" s="149"/>
      <c r="B271" s="149"/>
      <c r="C271" s="149"/>
      <c r="D271" s="149"/>
      <c r="E271" s="149"/>
      <c r="F271" s="149"/>
      <c r="G271" s="149"/>
      <c r="H271" s="149"/>
      <c r="I271" s="149"/>
      <c r="J271" s="149"/>
    </row>
    <row r="272" spans="1:10" ht="37.5" customHeight="1" x14ac:dyDescent="0.3">
      <c r="A272" s="139" t="s">
        <v>1129</v>
      </c>
      <c r="B272" s="140"/>
      <c r="C272" s="140"/>
      <c r="D272" s="140"/>
      <c r="E272" s="140"/>
      <c r="F272" s="140"/>
      <c r="G272" s="140"/>
      <c r="H272" s="140"/>
      <c r="I272" s="140"/>
      <c r="J272" s="140"/>
    </row>
    <row r="273" spans="1:10" ht="30" customHeight="1" x14ac:dyDescent="0.3">
      <c r="A273" s="43"/>
      <c r="B273" s="38" t="s">
        <v>2</v>
      </c>
      <c r="C273" s="4" t="s">
        <v>42</v>
      </c>
      <c r="D273" s="4" t="s">
        <v>43</v>
      </c>
      <c r="E273" s="38" t="s">
        <v>9</v>
      </c>
      <c r="F273" s="38" t="s">
        <v>10</v>
      </c>
      <c r="G273" s="4" t="s">
        <v>11</v>
      </c>
      <c r="H273" s="4" t="s">
        <v>17</v>
      </c>
      <c r="I273" s="4"/>
      <c r="J273" s="4"/>
    </row>
    <row r="274" spans="1:10" ht="30" customHeight="1" x14ac:dyDescent="0.3">
      <c r="A274" s="147"/>
      <c r="B274" s="27" t="s">
        <v>1095</v>
      </c>
      <c r="C274" s="10" t="s">
        <v>213</v>
      </c>
      <c r="D274" s="43" t="s">
        <v>218</v>
      </c>
      <c r="E274" s="43" t="s">
        <v>224</v>
      </c>
      <c r="F274" s="43" t="s">
        <v>13</v>
      </c>
      <c r="G274" s="15" t="s">
        <v>1109</v>
      </c>
      <c r="H274" s="7">
        <f>CEILING(1385*USD,10)</f>
        <v>105610</v>
      </c>
      <c r="I274" s="8"/>
      <c r="J274" s="9"/>
    </row>
    <row r="275" spans="1:10" ht="30" customHeight="1" x14ac:dyDescent="0.3">
      <c r="A275" s="147"/>
      <c r="B275" s="27" t="s">
        <v>1096</v>
      </c>
      <c r="C275" s="10" t="s">
        <v>214</v>
      </c>
      <c r="D275" s="43" t="s">
        <v>217</v>
      </c>
      <c r="E275" s="43" t="s">
        <v>224</v>
      </c>
      <c r="F275" s="43" t="s">
        <v>13</v>
      </c>
      <c r="G275" s="15" t="s">
        <v>1109</v>
      </c>
      <c r="H275" s="7">
        <f>CEILING(852*USD,10)</f>
        <v>64970</v>
      </c>
      <c r="I275" s="8"/>
      <c r="J275" s="9"/>
    </row>
    <row r="276" spans="1:10" ht="30" customHeight="1" x14ac:dyDescent="0.3">
      <c r="A276" s="147"/>
      <c r="B276" s="27" t="s">
        <v>1097</v>
      </c>
      <c r="C276" s="10" t="s">
        <v>213</v>
      </c>
      <c r="D276" s="43" t="s">
        <v>218</v>
      </c>
      <c r="E276" s="43" t="s">
        <v>224</v>
      </c>
      <c r="F276" s="43" t="s">
        <v>13</v>
      </c>
      <c r="G276" s="15" t="s">
        <v>1109</v>
      </c>
      <c r="H276" s="7">
        <f>CEILING(852*USD,10)</f>
        <v>64970</v>
      </c>
      <c r="I276" s="8"/>
      <c r="J276" s="9"/>
    </row>
    <row r="277" spans="1:10" ht="30" customHeight="1" x14ac:dyDescent="0.3">
      <c r="A277" s="147"/>
      <c r="B277" s="27" t="s">
        <v>1098</v>
      </c>
      <c r="C277" s="10" t="s">
        <v>215</v>
      </c>
      <c r="D277" s="43" t="s">
        <v>219</v>
      </c>
      <c r="E277" s="43" t="s">
        <v>224</v>
      </c>
      <c r="F277" s="43" t="s">
        <v>13</v>
      </c>
      <c r="G277" s="15" t="s">
        <v>1109</v>
      </c>
      <c r="H277" s="7">
        <f>CEILING(852*USD,10)</f>
        <v>64970</v>
      </c>
      <c r="I277" s="8"/>
      <c r="J277" s="9"/>
    </row>
    <row r="278" spans="1:10" ht="30" customHeight="1" x14ac:dyDescent="0.3">
      <c r="A278" s="147"/>
      <c r="B278" s="27" t="s">
        <v>1099</v>
      </c>
      <c r="C278" s="10" t="s">
        <v>214</v>
      </c>
      <c r="D278" s="43" t="s">
        <v>217</v>
      </c>
      <c r="E278" s="43" t="s">
        <v>224</v>
      </c>
      <c r="F278" s="43" t="s">
        <v>13</v>
      </c>
      <c r="G278" s="15" t="s">
        <v>1109</v>
      </c>
      <c r="H278" s="7">
        <f>CEILING(882*USD,10)</f>
        <v>67260</v>
      </c>
      <c r="I278" s="8"/>
      <c r="J278" s="9"/>
    </row>
    <row r="279" spans="1:10" ht="30" customHeight="1" x14ac:dyDescent="0.3">
      <c r="A279" s="147"/>
      <c r="B279" s="27" t="s">
        <v>1100</v>
      </c>
      <c r="C279" s="10" t="s">
        <v>213</v>
      </c>
      <c r="D279" s="43" t="s">
        <v>218</v>
      </c>
      <c r="E279" s="43" t="s">
        <v>224</v>
      </c>
      <c r="F279" s="43" t="s">
        <v>13</v>
      </c>
      <c r="G279" s="15" t="s">
        <v>1109</v>
      </c>
      <c r="H279" s="7">
        <f>CEILING(882*USD,10)</f>
        <v>67260</v>
      </c>
      <c r="I279" s="8"/>
      <c r="J279" s="9"/>
    </row>
    <row r="280" spans="1:10" ht="30" customHeight="1" x14ac:dyDescent="0.3">
      <c r="A280" s="147"/>
      <c r="B280" s="27" t="s">
        <v>1101</v>
      </c>
      <c r="C280" s="10" t="s">
        <v>215</v>
      </c>
      <c r="D280" s="43" t="s">
        <v>219</v>
      </c>
      <c r="E280" s="43" t="s">
        <v>224</v>
      </c>
      <c r="F280" s="43" t="s">
        <v>13</v>
      </c>
      <c r="G280" s="15" t="s">
        <v>1109</v>
      </c>
      <c r="H280" s="7">
        <f>CEILING(882*USD,10)</f>
        <v>67260</v>
      </c>
      <c r="I280" s="8"/>
      <c r="J280" s="9"/>
    </row>
    <row r="281" spans="1:10" ht="30" customHeight="1" x14ac:dyDescent="0.3">
      <c r="A281" s="147"/>
      <c r="B281" s="27" t="s">
        <v>1102</v>
      </c>
      <c r="C281" s="10" t="s">
        <v>213</v>
      </c>
      <c r="D281" s="43" t="s">
        <v>218</v>
      </c>
      <c r="E281" s="43" t="s">
        <v>224</v>
      </c>
      <c r="F281" s="43" t="s">
        <v>13</v>
      </c>
      <c r="G281" s="15" t="s">
        <v>1109</v>
      </c>
      <c r="H281" s="7">
        <f>CEILING(1477*USD,10)</f>
        <v>112630</v>
      </c>
      <c r="I281" s="8"/>
      <c r="J281" s="9"/>
    </row>
    <row r="282" spans="1:10" ht="30" customHeight="1" x14ac:dyDescent="0.3">
      <c r="A282" s="147"/>
      <c r="B282" s="27" t="s">
        <v>1103</v>
      </c>
      <c r="C282" s="10" t="s">
        <v>215</v>
      </c>
      <c r="D282" s="43" t="s">
        <v>219</v>
      </c>
      <c r="E282" s="43" t="s">
        <v>224</v>
      </c>
      <c r="F282" s="43" t="s">
        <v>13</v>
      </c>
      <c r="G282" s="15" t="s">
        <v>1109</v>
      </c>
      <c r="H282" s="7">
        <f>CEILING(1477*USD,10)</f>
        <v>112630</v>
      </c>
      <c r="I282" s="8"/>
      <c r="J282" s="9"/>
    </row>
    <row r="283" spans="1:10" ht="30" customHeight="1" x14ac:dyDescent="0.3">
      <c r="A283" s="147"/>
      <c r="B283" s="27" t="s">
        <v>1104</v>
      </c>
      <c r="C283" s="10" t="s">
        <v>213</v>
      </c>
      <c r="D283" s="43" t="s">
        <v>218</v>
      </c>
      <c r="E283" s="43" t="s">
        <v>224</v>
      </c>
      <c r="F283" s="43" t="s">
        <v>13</v>
      </c>
      <c r="G283" s="15" t="s">
        <v>1110</v>
      </c>
      <c r="H283" s="7">
        <f>CEILING(1521*USD,10)</f>
        <v>115980</v>
      </c>
      <c r="I283" s="8"/>
      <c r="J283" s="9"/>
    </row>
    <row r="284" spans="1:10" ht="30" customHeight="1" x14ac:dyDescent="0.3">
      <c r="A284" s="147"/>
      <c r="B284" s="27" t="s">
        <v>1105</v>
      </c>
      <c r="C284" s="10" t="s">
        <v>213</v>
      </c>
      <c r="D284" s="43" t="s">
        <v>218</v>
      </c>
      <c r="E284" s="43" t="s">
        <v>224</v>
      </c>
      <c r="F284" s="43" t="s">
        <v>13</v>
      </c>
      <c r="G284" s="15" t="s">
        <v>1111</v>
      </c>
      <c r="H284" s="7">
        <f>CEILING(1581*USD,10)</f>
        <v>120560</v>
      </c>
      <c r="I284" s="8"/>
      <c r="J284" s="9"/>
    </row>
    <row r="285" spans="1:10" ht="20.100000000000001" customHeight="1" x14ac:dyDescent="0.3">
      <c r="A285" s="159" t="s">
        <v>67</v>
      </c>
      <c r="B285" s="159"/>
      <c r="C285" s="159"/>
      <c r="D285" s="159"/>
      <c r="E285" s="159"/>
      <c r="F285" s="159"/>
      <c r="G285" s="159"/>
      <c r="H285" s="159"/>
      <c r="I285" s="159"/>
      <c r="J285" s="159"/>
    </row>
    <row r="286" spans="1:10" ht="20.100000000000001" customHeight="1" x14ac:dyDescent="0.3">
      <c r="A286" s="181" t="s">
        <v>1106</v>
      </c>
      <c r="B286" s="182"/>
      <c r="C286" s="182"/>
      <c r="D286" s="182"/>
      <c r="E286" s="182"/>
      <c r="F286" s="182"/>
      <c r="G286" s="183"/>
      <c r="H286" s="9">
        <f>CEILING(40*USD,10)</f>
        <v>3050</v>
      </c>
      <c r="I286" s="8"/>
      <c r="J286" s="9"/>
    </row>
    <row r="287" spans="1:10" ht="20.100000000000001" customHeight="1" x14ac:dyDescent="0.3">
      <c r="A287" s="181" t="s">
        <v>1107</v>
      </c>
      <c r="B287" s="182"/>
      <c r="C287" s="182"/>
      <c r="D287" s="182"/>
      <c r="E287" s="182"/>
      <c r="F287" s="182"/>
      <c r="G287" s="183"/>
      <c r="H287" s="9">
        <f>CEILING(292*USD,10)</f>
        <v>22270</v>
      </c>
      <c r="I287" s="8"/>
      <c r="J287" s="9"/>
    </row>
    <row r="288" spans="1:10" ht="20.100000000000001" customHeight="1" x14ac:dyDescent="0.3">
      <c r="A288" s="181" t="s">
        <v>1108</v>
      </c>
      <c r="B288" s="182"/>
      <c r="C288" s="182"/>
      <c r="D288" s="182"/>
      <c r="E288" s="182"/>
      <c r="F288" s="182"/>
      <c r="G288" s="183"/>
      <c r="H288" s="9">
        <f>CEILING(110*USD,10)</f>
        <v>8390</v>
      </c>
      <c r="I288" s="8"/>
      <c r="J288" s="9"/>
    </row>
    <row r="289" spans="1:10" ht="20.100000000000001" customHeight="1" x14ac:dyDescent="0.3">
      <c r="A289" s="149"/>
      <c r="B289" s="149"/>
      <c r="C289" s="149"/>
      <c r="D289" s="149"/>
      <c r="E289" s="149"/>
      <c r="F289" s="149"/>
      <c r="G289" s="149"/>
      <c r="H289" s="149"/>
      <c r="I289" s="149"/>
      <c r="J289" s="149"/>
    </row>
    <row r="290" spans="1:10" ht="30" customHeight="1" x14ac:dyDescent="0.3">
      <c r="A290" s="140" t="s">
        <v>1115</v>
      </c>
      <c r="B290" s="140"/>
      <c r="C290" s="140"/>
      <c r="D290" s="140"/>
      <c r="E290" s="140"/>
      <c r="F290" s="140"/>
      <c r="G290" s="140"/>
      <c r="H290" s="140"/>
      <c r="I290" s="140"/>
      <c r="J290" s="140"/>
    </row>
    <row r="291" spans="1:10" ht="30" customHeight="1" x14ac:dyDescent="0.3">
      <c r="A291" s="43"/>
      <c r="B291" s="38" t="s">
        <v>2</v>
      </c>
      <c r="C291" s="4" t="s">
        <v>42</v>
      </c>
      <c r="D291" s="4" t="s">
        <v>43</v>
      </c>
      <c r="E291" s="38" t="s">
        <v>9</v>
      </c>
      <c r="F291" s="38" t="s">
        <v>10</v>
      </c>
      <c r="G291" s="4" t="s">
        <v>11</v>
      </c>
      <c r="H291" s="4" t="s">
        <v>17</v>
      </c>
      <c r="I291" s="4"/>
      <c r="J291" s="4"/>
    </row>
    <row r="292" spans="1:10" ht="26.1" customHeight="1" x14ac:dyDescent="0.3">
      <c r="A292" s="147"/>
      <c r="B292" s="27" t="s">
        <v>854</v>
      </c>
      <c r="C292" s="10" t="s">
        <v>214</v>
      </c>
      <c r="D292" s="43" t="s">
        <v>217</v>
      </c>
      <c r="E292" s="43" t="s">
        <v>224</v>
      </c>
      <c r="F292" s="43" t="s">
        <v>13</v>
      </c>
      <c r="G292" s="15" t="s">
        <v>855</v>
      </c>
      <c r="H292" s="7">
        <f>CEILING(933*USD,10)</f>
        <v>71150</v>
      </c>
      <c r="I292" s="8"/>
      <c r="J292" s="9"/>
    </row>
    <row r="293" spans="1:10" ht="26.1" customHeight="1" x14ac:dyDescent="0.3">
      <c r="A293" s="147"/>
      <c r="B293" s="27" t="s">
        <v>850</v>
      </c>
      <c r="C293" s="10" t="s">
        <v>214</v>
      </c>
      <c r="D293" s="43" t="s">
        <v>217</v>
      </c>
      <c r="E293" s="43" t="s">
        <v>224</v>
      </c>
      <c r="F293" s="43" t="s">
        <v>13</v>
      </c>
      <c r="G293" s="15" t="s">
        <v>855</v>
      </c>
      <c r="H293" s="7">
        <f>CEILING(962*USD,10)</f>
        <v>73360</v>
      </c>
      <c r="I293" s="8"/>
      <c r="J293" s="9"/>
    </row>
    <row r="294" spans="1:10" ht="26.1" customHeight="1" x14ac:dyDescent="0.3">
      <c r="A294" s="147"/>
      <c r="B294" s="27" t="s">
        <v>851</v>
      </c>
      <c r="C294" s="10" t="s">
        <v>213</v>
      </c>
      <c r="D294" s="43" t="s">
        <v>218</v>
      </c>
      <c r="E294" s="43" t="s">
        <v>224</v>
      </c>
      <c r="F294" s="43" t="s">
        <v>13</v>
      </c>
      <c r="G294" s="15" t="s">
        <v>855</v>
      </c>
      <c r="H294" s="7">
        <f>CEILING(933*USD,10)</f>
        <v>71150</v>
      </c>
      <c r="I294" s="8"/>
      <c r="J294" s="9"/>
    </row>
    <row r="295" spans="1:10" ht="26.1" customHeight="1" x14ac:dyDescent="0.3">
      <c r="A295" s="147"/>
      <c r="B295" s="27" t="s">
        <v>1112</v>
      </c>
      <c r="C295" s="10" t="s">
        <v>213</v>
      </c>
      <c r="D295" s="43" t="s">
        <v>218</v>
      </c>
      <c r="E295" s="43" t="s">
        <v>224</v>
      </c>
      <c r="F295" s="43" t="s">
        <v>13</v>
      </c>
      <c r="G295" s="15" t="s">
        <v>855</v>
      </c>
      <c r="H295" s="7">
        <f>CEILING(1049*USD,10)</f>
        <v>79990</v>
      </c>
      <c r="I295" s="8"/>
      <c r="J295" s="9"/>
    </row>
    <row r="296" spans="1:10" ht="26.1" customHeight="1" x14ac:dyDescent="0.3">
      <c r="A296" s="147"/>
      <c r="B296" s="27" t="s">
        <v>852</v>
      </c>
      <c r="C296" s="10" t="s">
        <v>213</v>
      </c>
      <c r="D296" s="43" t="s">
        <v>218</v>
      </c>
      <c r="E296" s="43" t="s">
        <v>224</v>
      </c>
      <c r="F296" s="43" t="s">
        <v>13</v>
      </c>
      <c r="G296" s="15" t="s">
        <v>855</v>
      </c>
      <c r="H296" s="7">
        <f>CEILING(962*USD,10)</f>
        <v>73360</v>
      </c>
      <c r="I296" s="8"/>
      <c r="J296" s="9"/>
    </row>
    <row r="297" spans="1:10" ht="26.1" customHeight="1" x14ac:dyDescent="0.3">
      <c r="A297" s="147"/>
      <c r="B297" s="27" t="s">
        <v>1113</v>
      </c>
      <c r="C297" s="10" t="s">
        <v>213</v>
      </c>
      <c r="D297" s="43" t="s">
        <v>218</v>
      </c>
      <c r="E297" s="43" t="s">
        <v>224</v>
      </c>
      <c r="F297" s="43" t="s">
        <v>13</v>
      </c>
      <c r="G297" s="15" t="s">
        <v>855</v>
      </c>
      <c r="H297" s="7">
        <f>CEILING(1079*USD,10)</f>
        <v>82280</v>
      </c>
      <c r="I297" s="8"/>
      <c r="J297" s="9"/>
    </row>
    <row r="298" spans="1:10" ht="26.1" customHeight="1" x14ac:dyDescent="0.3">
      <c r="A298" s="147"/>
      <c r="B298" s="27" t="s">
        <v>853</v>
      </c>
      <c r="C298" s="10" t="s">
        <v>215</v>
      </c>
      <c r="D298" s="43" t="s">
        <v>219</v>
      </c>
      <c r="E298" s="43" t="s">
        <v>224</v>
      </c>
      <c r="F298" s="43" t="s">
        <v>13</v>
      </c>
      <c r="G298" s="15" t="s">
        <v>855</v>
      </c>
      <c r="H298" s="7">
        <f>CEILING(932*USD,10)</f>
        <v>71070</v>
      </c>
      <c r="I298" s="8"/>
      <c r="J298" s="9"/>
    </row>
    <row r="299" spans="1:10" ht="26.1" customHeight="1" x14ac:dyDescent="0.3">
      <c r="A299" s="147"/>
      <c r="B299" s="27" t="s">
        <v>1114</v>
      </c>
      <c r="C299" s="10" t="s">
        <v>215</v>
      </c>
      <c r="D299" s="43" t="s">
        <v>219</v>
      </c>
      <c r="E299" s="43" t="s">
        <v>224</v>
      </c>
      <c r="F299" s="43" t="s">
        <v>13</v>
      </c>
      <c r="G299" s="15" t="s">
        <v>855</v>
      </c>
      <c r="H299" s="7">
        <f>CEILING(1049*USD,10)</f>
        <v>79990</v>
      </c>
      <c r="I299" s="8"/>
      <c r="J299" s="9"/>
    </row>
    <row r="300" spans="1:10" ht="26.1" customHeight="1" x14ac:dyDescent="0.3">
      <c r="A300" s="147"/>
      <c r="B300" s="27" t="s">
        <v>858</v>
      </c>
      <c r="C300" s="10" t="s">
        <v>215</v>
      </c>
      <c r="D300" s="43" t="s">
        <v>219</v>
      </c>
      <c r="E300" s="43" t="s">
        <v>224</v>
      </c>
      <c r="F300" s="43" t="s">
        <v>13</v>
      </c>
      <c r="G300" s="15" t="s">
        <v>855</v>
      </c>
      <c r="H300" s="7">
        <f>CEILING(962*USD,10)</f>
        <v>73360</v>
      </c>
      <c r="I300" s="8"/>
      <c r="J300" s="9"/>
    </row>
    <row r="301" spans="1:10" ht="20.100000000000001" customHeight="1" x14ac:dyDescent="0.3">
      <c r="A301" s="159" t="s">
        <v>67</v>
      </c>
      <c r="B301" s="159"/>
      <c r="C301" s="159"/>
      <c r="D301" s="159"/>
      <c r="E301" s="159"/>
      <c r="F301" s="159"/>
      <c r="G301" s="159"/>
      <c r="H301" s="159"/>
      <c r="I301" s="159"/>
      <c r="J301" s="159"/>
    </row>
    <row r="302" spans="1:10" ht="20.100000000000001" customHeight="1" x14ac:dyDescent="0.3">
      <c r="A302" s="181" t="s">
        <v>856</v>
      </c>
      <c r="B302" s="182"/>
      <c r="C302" s="182"/>
      <c r="D302" s="182"/>
      <c r="E302" s="182"/>
      <c r="F302" s="182"/>
      <c r="G302" s="183"/>
      <c r="H302" s="9">
        <f>CEILING(100*USD,10)</f>
        <v>7630</v>
      </c>
      <c r="I302" s="8"/>
      <c r="J302" s="9"/>
    </row>
    <row r="303" spans="1:10" ht="20.100000000000001" customHeight="1" x14ac:dyDescent="0.3">
      <c r="A303" s="181" t="s">
        <v>857</v>
      </c>
      <c r="B303" s="182"/>
      <c r="C303" s="182"/>
      <c r="D303" s="182"/>
      <c r="E303" s="182"/>
      <c r="F303" s="182"/>
      <c r="G303" s="183"/>
      <c r="H303" s="9">
        <f>CEILING(115*USD,10)</f>
        <v>8770</v>
      </c>
      <c r="I303" s="8"/>
      <c r="J303" s="9"/>
    </row>
    <row r="304" spans="1:10" ht="20.100000000000001" customHeight="1" x14ac:dyDescent="0.3">
      <c r="A304" s="149"/>
      <c r="B304" s="149"/>
      <c r="C304" s="149"/>
      <c r="D304" s="149"/>
      <c r="E304" s="149"/>
      <c r="F304" s="149"/>
      <c r="G304" s="149"/>
      <c r="H304" s="149"/>
      <c r="I304" s="149"/>
      <c r="J304" s="149"/>
    </row>
    <row r="305" spans="1:10" ht="30" customHeight="1" x14ac:dyDescent="0.3">
      <c r="A305" s="140" t="s">
        <v>1116</v>
      </c>
      <c r="B305" s="140"/>
      <c r="C305" s="140"/>
      <c r="D305" s="140"/>
      <c r="E305" s="140"/>
      <c r="F305" s="140"/>
      <c r="G305" s="140"/>
      <c r="H305" s="140"/>
      <c r="I305" s="140"/>
      <c r="J305" s="140"/>
    </row>
    <row r="306" spans="1:10" ht="30" customHeight="1" x14ac:dyDescent="0.3">
      <c r="A306" s="43"/>
      <c r="B306" s="38" t="s">
        <v>2</v>
      </c>
      <c r="C306" s="4" t="s">
        <v>42</v>
      </c>
      <c r="D306" s="4" t="s">
        <v>43</v>
      </c>
      <c r="E306" s="38" t="s">
        <v>9</v>
      </c>
      <c r="F306" s="38" t="s">
        <v>10</v>
      </c>
      <c r="G306" s="4" t="s">
        <v>11</v>
      </c>
      <c r="H306" s="4" t="s">
        <v>17</v>
      </c>
      <c r="I306" s="4"/>
      <c r="J306" s="4"/>
    </row>
    <row r="307" spans="1:10" ht="60" customHeight="1" x14ac:dyDescent="0.3">
      <c r="A307" s="147"/>
      <c r="B307" s="6" t="s">
        <v>1555</v>
      </c>
      <c r="C307" s="43" t="s">
        <v>859</v>
      </c>
      <c r="D307" s="43" t="s">
        <v>220</v>
      </c>
      <c r="E307" s="43" t="s">
        <v>224</v>
      </c>
      <c r="F307" s="43" t="s">
        <v>13</v>
      </c>
      <c r="G307" s="15" t="s">
        <v>861</v>
      </c>
      <c r="H307" s="25">
        <f>CEILING(6902*USD,10)</f>
        <v>526280</v>
      </c>
      <c r="I307" s="8"/>
      <c r="J307" s="9"/>
    </row>
    <row r="308" spans="1:10" ht="60" customHeight="1" x14ac:dyDescent="0.3">
      <c r="A308" s="147"/>
      <c r="B308" s="6" t="s">
        <v>1556</v>
      </c>
      <c r="C308" s="43" t="s">
        <v>860</v>
      </c>
      <c r="D308" s="43" t="s">
        <v>221</v>
      </c>
      <c r="E308" s="43" t="s">
        <v>224</v>
      </c>
      <c r="F308" s="43" t="s">
        <v>13</v>
      </c>
      <c r="G308" s="15" t="s">
        <v>861</v>
      </c>
      <c r="H308" s="25">
        <f>CEILING(6902*USD,10)</f>
        <v>526280</v>
      </c>
      <c r="I308" s="8"/>
      <c r="J308" s="9"/>
    </row>
    <row r="309" spans="1:10" ht="20.100000000000001" customHeight="1" x14ac:dyDescent="0.3">
      <c r="A309" s="159" t="s">
        <v>67</v>
      </c>
      <c r="B309" s="159"/>
      <c r="C309" s="159"/>
      <c r="D309" s="159"/>
      <c r="E309" s="159"/>
      <c r="F309" s="159"/>
      <c r="G309" s="159"/>
      <c r="H309" s="159"/>
      <c r="I309" s="159"/>
      <c r="J309" s="159"/>
    </row>
    <row r="310" spans="1:10" ht="20.100000000000001" customHeight="1" x14ac:dyDescent="0.3">
      <c r="A310" s="181" t="s">
        <v>865</v>
      </c>
      <c r="B310" s="182"/>
      <c r="C310" s="182"/>
      <c r="D310" s="182"/>
      <c r="E310" s="182"/>
      <c r="F310" s="182"/>
      <c r="G310" s="183"/>
      <c r="H310" s="9">
        <f>CEILING(2001*USD,10)</f>
        <v>152580</v>
      </c>
      <c r="I310" s="8"/>
      <c r="J310" s="9"/>
    </row>
    <row r="311" spans="1:10" ht="20.100000000000001" customHeight="1" x14ac:dyDescent="0.3">
      <c r="A311" s="181" t="s">
        <v>862</v>
      </c>
      <c r="B311" s="182"/>
      <c r="C311" s="182"/>
      <c r="D311" s="182"/>
      <c r="E311" s="182"/>
      <c r="F311" s="182"/>
      <c r="G311" s="183"/>
      <c r="H311" s="9">
        <f>CEILING(193*USD,10)</f>
        <v>14720</v>
      </c>
      <c r="I311" s="8"/>
      <c r="J311" s="9"/>
    </row>
    <row r="312" spans="1:10" ht="20.100000000000001" customHeight="1" x14ac:dyDescent="0.3">
      <c r="A312" s="181" t="s">
        <v>863</v>
      </c>
      <c r="B312" s="182"/>
      <c r="C312" s="182"/>
      <c r="D312" s="182"/>
      <c r="E312" s="182"/>
      <c r="F312" s="182"/>
      <c r="G312" s="183"/>
      <c r="H312" s="9">
        <f>CEILING(167*USD,10)</f>
        <v>12740</v>
      </c>
      <c r="I312" s="8"/>
      <c r="J312" s="9"/>
    </row>
    <row r="313" spans="1:10" ht="20.100000000000001" customHeight="1" x14ac:dyDescent="0.3">
      <c r="A313" s="181" t="s">
        <v>864</v>
      </c>
      <c r="B313" s="182"/>
      <c r="C313" s="182"/>
      <c r="D313" s="182"/>
      <c r="E313" s="182"/>
      <c r="F313" s="182"/>
      <c r="G313" s="183"/>
      <c r="H313" s="9">
        <f>CEILING(142*USD,10)</f>
        <v>10830</v>
      </c>
      <c r="I313" s="8"/>
      <c r="J313" s="9"/>
    </row>
    <row r="314" spans="1:10" ht="20.100000000000001" customHeight="1" x14ac:dyDescent="0.3">
      <c r="A314" s="181" t="s">
        <v>866</v>
      </c>
      <c r="B314" s="182"/>
      <c r="C314" s="182"/>
      <c r="D314" s="182"/>
      <c r="E314" s="182"/>
      <c r="F314" s="182"/>
      <c r="G314" s="183"/>
      <c r="H314" s="9">
        <f>CEILING(102*USD,10)</f>
        <v>7780</v>
      </c>
      <c r="I314" s="8"/>
      <c r="J314" s="9"/>
    </row>
    <row r="315" spans="1:10" ht="20.100000000000001" customHeight="1" x14ac:dyDescent="0.3">
      <c r="A315" s="149"/>
      <c r="B315" s="149"/>
      <c r="C315" s="149"/>
      <c r="D315" s="149"/>
      <c r="E315" s="149"/>
      <c r="F315" s="149"/>
      <c r="G315" s="149"/>
      <c r="H315" s="149"/>
      <c r="I315" s="149"/>
      <c r="J315" s="149"/>
    </row>
    <row r="316" spans="1:10" ht="30" customHeight="1" x14ac:dyDescent="0.3">
      <c r="A316" s="140" t="s">
        <v>1117</v>
      </c>
      <c r="B316" s="140"/>
      <c r="C316" s="140"/>
      <c r="D316" s="140"/>
      <c r="E316" s="140"/>
      <c r="F316" s="140"/>
      <c r="G316" s="140"/>
      <c r="H316" s="140"/>
      <c r="I316" s="140"/>
      <c r="J316" s="140"/>
    </row>
    <row r="317" spans="1:10" ht="30" customHeight="1" x14ac:dyDescent="0.3">
      <c r="A317" s="43"/>
      <c r="B317" s="38" t="s">
        <v>2</v>
      </c>
      <c r="C317" s="4" t="s">
        <v>42</v>
      </c>
      <c r="D317" s="4" t="s">
        <v>43</v>
      </c>
      <c r="E317" s="38" t="s">
        <v>9</v>
      </c>
      <c r="F317" s="38" t="s">
        <v>10</v>
      </c>
      <c r="G317" s="4" t="s">
        <v>11</v>
      </c>
      <c r="H317" s="4" t="s">
        <v>17</v>
      </c>
      <c r="I317" s="4"/>
      <c r="J317" s="4"/>
    </row>
    <row r="318" spans="1:10" ht="60" customHeight="1" x14ac:dyDescent="0.3">
      <c r="A318" s="147"/>
      <c r="B318" s="38" t="s">
        <v>1120</v>
      </c>
      <c r="C318" s="43" t="s">
        <v>808</v>
      </c>
      <c r="D318" s="43" t="s">
        <v>211</v>
      </c>
      <c r="E318" s="43" t="s">
        <v>224</v>
      </c>
      <c r="F318" s="43" t="s">
        <v>13</v>
      </c>
      <c r="G318" s="44" t="s">
        <v>1118</v>
      </c>
      <c r="H318" s="25">
        <f>CEILING(1275*USD,10)</f>
        <v>97220</v>
      </c>
      <c r="I318" s="8"/>
      <c r="J318" s="9"/>
    </row>
    <row r="319" spans="1:10" ht="60" customHeight="1" x14ac:dyDescent="0.3">
      <c r="A319" s="147"/>
      <c r="B319" s="38" t="s">
        <v>1121</v>
      </c>
      <c r="C319" s="43" t="s">
        <v>809</v>
      </c>
      <c r="D319" s="43" t="s">
        <v>483</v>
      </c>
      <c r="E319" s="43" t="s">
        <v>224</v>
      </c>
      <c r="F319" s="43" t="s">
        <v>13</v>
      </c>
      <c r="G319" s="44" t="s">
        <v>1118</v>
      </c>
      <c r="H319" s="25">
        <f>CEILING(1275*USD,10)</f>
        <v>97220</v>
      </c>
      <c r="I319" s="8"/>
      <c r="J319" s="9"/>
    </row>
    <row r="320" spans="1:10" ht="20.100000000000001" customHeight="1" x14ac:dyDescent="0.3">
      <c r="A320" s="159" t="s">
        <v>67</v>
      </c>
      <c r="B320" s="159"/>
      <c r="C320" s="159"/>
      <c r="D320" s="159"/>
      <c r="E320" s="159"/>
      <c r="F320" s="159"/>
      <c r="G320" s="159"/>
      <c r="H320" s="159"/>
      <c r="I320" s="159"/>
      <c r="J320" s="159"/>
    </row>
    <row r="321" spans="1:10" ht="20.100000000000001" customHeight="1" x14ac:dyDescent="0.3">
      <c r="A321" s="181" t="s">
        <v>1119</v>
      </c>
      <c r="B321" s="182"/>
      <c r="C321" s="182"/>
      <c r="D321" s="182"/>
      <c r="E321" s="182"/>
      <c r="F321" s="182"/>
      <c r="G321" s="183"/>
      <c r="H321" s="9">
        <f>CEILING(656*USD,10)</f>
        <v>50020</v>
      </c>
      <c r="I321" s="8"/>
      <c r="J321" s="9"/>
    </row>
    <row r="322" spans="1:10" ht="20.100000000000001" customHeight="1" x14ac:dyDescent="0.3">
      <c r="A322" s="149"/>
      <c r="B322" s="149"/>
      <c r="C322" s="149"/>
      <c r="D322" s="149"/>
      <c r="E322" s="149"/>
      <c r="F322" s="149"/>
      <c r="G322" s="149"/>
      <c r="H322" s="149"/>
      <c r="I322" s="149"/>
      <c r="J322" s="149"/>
    </row>
    <row r="323" spans="1:10" ht="30" customHeight="1" x14ac:dyDescent="0.3">
      <c r="A323" s="140" t="s">
        <v>1122</v>
      </c>
      <c r="B323" s="140"/>
      <c r="C323" s="140"/>
      <c r="D323" s="140"/>
      <c r="E323" s="140"/>
      <c r="F323" s="140"/>
      <c r="G323" s="140"/>
      <c r="H323" s="140"/>
      <c r="I323" s="140"/>
      <c r="J323" s="140"/>
    </row>
    <row r="324" spans="1:10" ht="30" customHeight="1" x14ac:dyDescent="0.3">
      <c r="A324" s="43"/>
      <c r="B324" s="38" t="s">
        <v>2</v>
      </c>
      <c r="C324" s="4" t="s">
        <v>42</v>
      </c>
      <c r="D324" s="4" t="s">
        <v>43</v>
      </c>
      <c r="E324" s="38" t="s">
        <v>9</v>
      </c>
      <c r="F324" s="38" t="s">
        <v>10</v>
      </c>
      <c r="G324" s="4" t="s">
        <v>11</v>
      </c>
      <c r="H324" s="4" t="s">
        <v>17</v>
      </c>
      <c r="I324" s="4"/>
      <c r="J324" s="4"/>
    </row>
    <row r="325" spans="1:10" ht="50.1" customHeight="1" x14ac:dyDescent="0.3">
      <c r="A325" s="147"/>
      <c r="B325" s="6" t="s">
        <v>867</v>
      </c>
      <c r="C325" s="43" t="s">
        <v>710</v>
      </c>
      <c r="D325" s="43" t="s">
        <v>195</v>
      </c>
      <c r="E325" s="43" t="s">
        <v>224</v>
      </c>
      <c r="F325" s="43" t="s">
        <v>13</v>
      </c>
      <c r="G325" s="15" t="s">
        <v>815</v>
      </c>
      <c r="H325" s="7">
        <f>CEILING(405*USD,10)</f>
        <v>30890</v>
      </c>
      <c r="I325" s="8"/>
      <c r="J325" s="9"/>
    </row>
    <row r="326" spans="1:10" ht="50.1" customHeight="1" x14ac:dyDescent="0.3">
      <c r="A326" s="147"/>
      <c r="B326" s="6" t="s">
        <v>868</v>
      </c>
      <c r="C326" s="43" t="s">
        <v>808</v>
      </c>
      <c r="D326" s="43" t="s">
        <v>211</v>
      </c>
      <c r="E326" s="43" t="s">
        <v>224</v>
      </c>
      <c r="F326" s="43" t="s">
        <v>13</v>
      </c>
      <c r="G326" s="15" t="s">
        <v>815</v>
      </c>
      <c r="H326" s="7">
        <f>CEILING(678*USD,10)</f>
        <v>51700</v>
      </c>
      <c r="I326" s="8"/>
      <c r="J326" s="9"/>
    </row>
    <row r="327" spans="1:10" ht="50.1" customHeight="1" x14ac:dyDescent="0.3">
      <c r="A327" s="147"/>
      <c r="B327" s="6" t="s">
        <v>869</v>
      </c>
      <c r="C327" s="43" t="s">
        <v>809</v>
      </c>
      <c r="D327" s="43" t="s">
        <v>483</v>
      </c>
      <c r="E327" s="43" t="s">
        <v>224</v>
      </c>
      <c r="F327" s="43" t="s">
        <v>13</v>
      </c>
      <c r="G327" s="15" t="s">
        <v>815</v>
      </c>
      <c r="H327" s="7">
        <f>CEILING(678*USD,10)</f>
        <v>51700</v>
      </c>
      <c r="I327" s="8"/>
      <c r="J327" s="9"/>
    </row>
    <row r="328" spans="1:10" ht="50.1" customHeight="1" x14ac:dyDescent="0.3">
      <c r="A328" s="147"/>
      <c r="B328" s="6" t="s">
        <v>870</v>
      </c>
      <c r="C328" s="43" t="s">
        <v>810</v>
      </c>
      <c r="D328" s="43" t="s">
        <v>483</v>
      </c>
      <c r="E328" s="43" t="s">
        <v>224</v>
      </c>
      <c r="F328" s="43" t="s">
        <v>13</v>
      </c>
      <c r="G328" s="15" t="s">
        <v>815</v>
      </c>
      <c r="H328" s="7">
        <f>CEILING(714*USD,10)</f>
        <v>54450</v>
      </c>
      <c r="I328" s="8"/>
      <c r="J328" s="9"/>
    </row>
    <row r="329" spans="1:10" ht="50.1" customHeight="1" x14ac:dyDescent="0.3">
      <c r="A329" s="147"/>
      <c r="B329" s="6" t="s">
        <v>871</v>
      </c>
      <c r="C329" s="43" t="s">
        <v>811</v>
      </c>
      <c r="D329" s="43" t="s">
        <v>484</v>
      </c>
      <c r="E329" s="43" t="s">
        <v>224</v>
      </c>
      <c r="F329" s="43" t="s">
        <v>13</v>
      </c>
      <c r="G329" s="15" t="s">
        <v>815</v>
      </c>
      <c r="H329" s="7">
        <f>CEILING(762*USD,10)</f>
        <v>58110</v>
      </c>
      <c r="I329" s="8"/>
      <c r="J329" s="9"/>
    </row>
    <row r="330" spans="1:10" ht="20.100000000000001" customHeight="1" x14ac:dyDescent="0.3">
      <c r="A330" s="149"/>
      <c r="B330" s="149"/>
      <c r="C330" s="149"/>
      <c r="D330" s="149"/>
      <c r="E330" s="149"/>
      <c r="F330" s="149"/>
      <c r="G330" s="149"/>
      <c r="H330" s="149"/>
      <c r="I330" s="149"/>
      <c r="J330" s="149"/>
    </row>
    <row r="331" spans="1:10" ht="30" customHeight="1" x14ac:dyDescent="0.3">
      <c r="A331" s="140" t="s">
        <v>1123</v>
      </c>
      <c r="B331" s="140"/>
      <c r="C331" s="140"/>
      <c r="D331" s="140"/>
      <c r="E331" s="140"/>
      <c r="F331" s="140"/>
      <c r="G331" s="140"/>
      <c r="H331" s="140"/>
      <c r="I331" s="140"/>
      <c r="J331" s="140"/>
    </row>
    <row r="332" spans="1:10" ht="30" customHeight="1" x14ac:dyDescent="0.3">
      <c r="A332" s="43"/>
      <c r="B332" s="38" t="s">
        <v>2</v>
      </c>
      <c r="C332" s="4" t="s">
        <v>42</v>
      </c>
      <c r="D332" s="4" t="s">
        <v>43</v>
      </c>
      <c r="E332" s="38" t="s">
        <v>9</v>
      </c>
      <c r="F332" s="38" t="s">
        <v>10</v>
      </c>
      <c r="G332" s="4" t="s">
        <v>11</v>
      </c>
      <c r="H332" s="4" t="s">
        <v>17</v>
      </c>
      <c r="I332" s="4"/>
      <c r="J332" s="4"/>
    </row>
    <row r="333" spans="1:10" ht="20.100000000000001" customHeight="1" x14ac:dyDescent="0.3">
      <c r="A333" s="147"/>
      <c r="B333" s="6" t="s">
        <v>872</v>
      </c>
      <c r="C333" s="43" t="s">
        <v>808</v>
      </c>
      <c r="D333" s="43" t="s">
        <v>211</v>
      </c>
      <c r="E333" s="43" t="s">
        <v>224</v>
      </c>
      <c r="F333" s="43" t="s">
        <v>13</v>
      </c>
      <c r="G333" s="15" t="s">
        <v>815</v>
      </c>
      <c r="H333" s="7">
        <f>CEILING(1201*USD,10)</f>
        <v>91580</v>
      </c>
      <c r="I333" s="8"/>
      <c r="J333" s="9"/>
    </row>
    <row r="334" spans="1:10" ht="20.100000000000001" customHeight="1" x14ac:dyDescent="0.3">
      <c r="A334" s="147"/>
      <c r="B334" s="6" t="s">
        <v>873</v>
      </c>
      <c r="C334" s="43" t="s">
        <v>809</v>
      </c>
      <c r="D334" s="43" t="s">
        <v>483</v>
      </c>
      <c r="E334" s="43" t="s">
        <v>224</v>
      </c>
      <c r="F334" s="43" t="s">
        <v>13</v>
      </c>
      <c r="G334" s="15" t="s">
        <v>815</v>
      </c>
      <c r="H334" s="7">
        <f>CEILING(1201*USD,10)</f>
        <v>91580</v>
      </c>
      <c r="I334" s="8"/>
      <c r="J334" s="9"/>
    </row>
    <row r="335" spans="1:10" ht="20.100000000000001" customHeight="1" x14ac:dyDescent="0.3">
      <c r="A335" s="147"/>
      <c r="B335" s="6" t="s">
        <v>1124</v>
      </c>
      <c r="C335" s="43" t="s">
        <v>809</v>
      </c>
      <c r="D335" s="43" t="s">
        <v>483</v>
      </c>
      <c r="E335" s="43" t="s">
        <v>224</v>
      </c>
      <c r="F335" s="43" t="s">
        <v>13</v>
      </c>
      <c r="G335" s="15" t="s">
        <v>815</v>
      </c>
      <c r="H335" s="7">
        <f>CEILING(2047*USD,10)</f>
        <v>156090</v>
      </c>
      <c r="I335" s="8"/>
      <c r="J335" s="9"/>
    </row>
    <row r="336" spans="1:10" ht="20.100000000000001" customHeight="1" x14ac:dyDescent="0.3">
      <c r="A336" s="147"/>
      <c r="B336" s="120" t="s">
        <v>874</v>
      </c>
      <c r="C336" s="43" t="s">
        <v>810</v>
      </c>
      <c r="D336" s="43" t="s">
        <v>484</v>
      </c>
      <c r="E336" s="43" t="s">
        <v>224</v>
      </c>
      <c r="F336" s="43" t="s">
        <v>13</v>
      </c>
      <c r="G336" s="15" t="s">
        <v>815</v>
      </c>
      <c r="H336" s="7">
        <f>CEILING(1201*USD,10)</f>
        <v>91580</v>
      </c>
      <c r="I336" s="8"/>
      <c r="J336" s="9"/>
    </row>
    <row r="337" spans="1:10" ht="20.100000000000001" customHeight="1" x14ac:dyDescent="0.3">
      <c r="A337" s="147"/>
      <c r="B337" s="120" t="s">
        <v>875</v>
      </c>
      <c r="C337" s="43" t="s">
        <v>811</v>
      </c>
      <c r="D337" s="43" t="s">
        <v>484</v>
      </c>
      <c r="E337" s="43" t="s">
        <v>224</v>
      </c>
      <c r="F337" s="43" t="s">
        <v>13</v>
      </c>
      <c r="G337" s="15" t="s">
        <v>815</v>
      </c>
      <c r="H337" s="7">
        <f>CEILING(1331*USD,10)</f>
        <v>101490</v>
      </c>
      <c r="I337" s="8"/>
      <c r="J337" s="9"/>
    </row>
    <row r="338" spans="1:10" ht="20.100000000000001" customHeight="1" x14ac:dyDescent="0.3">
      <c r="A338" s="147"/>
      <c r="B338" s="6" t="s">
        <v>1125</v>
      </c>
      <c r="C338" s="43" t="s">
        <v>811</v>
      </c>
      <c r="D338" s="43" t="s">
        <v>484</v>
      </c>
      <c r="E338" s="43" t="s">
        <v>224</v>
      </c>
      <c r="F338" s="43" t="s">
        <v>13</v>
      </c>
      <c r="G338" s="15" t="s">
        <v>815</v>
      </c>
      <c r="H338" s="7">
        <f>CEILING(2164*USD,10)</f>
        <v>165010</v>
      </c>
      <c r="I338" s="8"/>
      <c r="J338" s="9"/>
    </row>
    <row r="339" spans="1:10" ht="20.100000000000001" customHeight="1" x14ac:dyDescent="0.3">
      <c r="A339" s="147"/>
      <c r="B339" s="6" t="s">
        <v>876</v>
      </c>
      <c r="C339" s="43" t="s">
        <v>813</v>
      </c>
      <c r="D339" s="43" t="s">
        <v>220</v>
      </c>
      <c r="E339" s="43" t="s">
        <v>224</v>
      </c>
      <c r="F339" s="43" t="s">
        <v>13</v>
      </c>
      <c r="G339" s="15" t="s">
        <v>815</v>
      </c>
      <c r="H339" s="7">
        <f>CEILING(2583*USD,10)</f>
        <v>196960</v>
      </c>
      <c r="I339" s="8"/>
      <c r="J339" s="9"/>
    </row>
    <row r="340" spans="1:10" ht="20.100000000000001" customHeight="1" x14ac:dyDescent="0.3">
      <c r="A340" s="147"/>
      <c r="B340" s="6" t="s">
        <v>1126</v>
      </c>
      <c r="C340" s="43" t="s">
        <v>813</v>
      </c>
      <c r="D340" s="43" t="s">
        <v>220</v>
      </c>
      <c r="E340" s="43" t="s">
        <v>224</v>
      </c>
      <c r="F340" s="43" t="s">
        <v>13</v>
      </c>
      <c r="G340" s="15" t="s">
        <v>815</v>
      </c>
      <c r="H340" s="7">
        <f>CEILING(3309*USD,10)</f>
        <v>252320</v>
      </c>
      <c r="I340" s="8"/>
      <c r="J340" s="9"/>
    </row>
    <row r="341" spans="1:10" ht="20.100000000000001" customHeight="1" x14ac:dyDescent="0.3">
      <c r="A341" s="147"/>
      <c r="B341" s="6" t="s">
        <v>877</v>
      </c>
      <c r="C341" s="43" t="s">
        <v>814</v>
      </c>
      <c r="D341" s="43" t="s">
        <v>221</v>
      </c>
      <c r="E341" s="43" t="s">
        <v>224</v>
      </c>
      <c r="F341" s="43" t="s">
        <v>13</v>
      </c>
      <c r="G341" s="15" t="s">
        <v>815</v>
      </c>
      <c r="H341" s="7">
        <f>CEILING(2985*USD,10)</f>
        <v>227610</v>
      </c>
      <c r="I341" s="8"/>
      <c r="J341" s="9"/>
    </row>
    <row r="342" spans="1:10" ht="20.100000000000001" customHeight="1" x14ac:dyDescent="0.3">
      <c r="A342" s="147"/>
      <c r="B342" s="6" t="s">
        <v>1127</v>
      </c>
      <c r="C342" s="43" t="s">
        <v>814</v>
      </c>
      <c r="D342" s="43" t="s">
        <v>221</v>
      </c>
      <c r="E342" s="43" t="s">
        <v>224</v>
      </c>
      <c r="F342" s="43" t="s">
        <v>13</v>
      </c>
      <c r="G342" s="15" t="s">
        <v>815</v>
      </c>
      <c r="H342" s="7">
        <f>CEILING(3647*USD,10)</f>
        <v>278090</v>
      </c>
      <c r="I342" s="8"/>
      <c r="J342" s="9"/>
    </row>
    <row r="343" spans="1:10" ht="20.100000000000001" customHeight="1" x14ac:dyDescent="0.3">
      <c r="A343" s="147"/>
      <c r="B343" s="6" t="s">
        <v>878</v>
      </c>
      <c r="C343" s="43" t="s">
        <v>879</v>
      </c>
      <c r="D343" s="43" t="s">
        <v>221</v>
      </c>
      <c r="E343" s="43" t="s">
        <v>224</v>
      </c>
      <c r="F343" s="43" t="s">
        <v>13</v>
      </c>
      <c r="G343" s="15" t="s">
        <v>815</v>
      </c>
      <c r="H343" s="7">
        <f>CEILING(3306*USD,10)</f>
        <v>252090</v>
      </c>
      <c r="I343" s="8"/>
      <c r="J343" s="9"/>
    </row>
    <row r="344" spans="1:10" ht="20.100000000000001" customHeight="1" x14ac:dyDescent="0.3">
      <c r="A344" s="147"/>
      <c r="B344" s="6" t="s">
        <v>1128</v>
      </c>
      <c r="C344" s="43" t="s">
        <v>879</v>
      </c>
      <c r="D344" s="43" t="s">
        <v>221</v>
      </c>
      <c r="E344" s="43" t="s">
        <v>224</v>
      </c>
      <c r="F344" s="43" t="s">
        <v>13</v>
      </c>
      <c r="G344" s="15" t="s">
        <v>815</v>
      </c>
      <c r="H344" s="7">
        <f>CEILING(3715*USD,10)</f>
        <v>283270</v>
      </c>
      <c r="I344" s="8"/>
      <c r="J344" s="9"/>
    </row>
  </sheetData>
  <mergeCells count="129">
    <mergeCell ref="A14:G14"/>
    <mergeCell ref="A123:G123"/>
    <mergeCell ref="A124:G124"/>
    <mergeCell ref="A125:J125"/>
    <mergeCell ref="A1:J1"/>
    <mergeCell ref="A3:A12"/>
    <mergeCell ref="A15:J15"/>
    <mergeCell ref="A105:A120"/>
    <mergeCell ref="A121:J121"/>
    <mergeCell ref="A122:G122"/>
    <mergeCell ref="A13:J13"/>
    <mergeCell ref="A66:J66"/>
    <mergeCell ref="A69:A73"/>
    <mergeCell ref="A74:J74"/>
    <mergeCell ref="A92:J92"/>
    <mergeCell ref="A93:J93"/>
    <mergeCell ref="A16:J16"/>
    <mergeCell ref="A18:A38"/>
    <mergeCell ref="A39:J39"/>
    <mergeCell ref="A58:G58"/>
    <mergeCell ref="A59:J59"/>
    <mergeCell ref="A67:J67"/>
    <mergeCell ref="A40:J40"/>
    <mergeCell ref="A42:A48"/>
    <mergeCell ref="A49:J49"/>
    <mergeCell ref="A50:J50"/>
    <mergeCell ref="A60:J60"/>
    <mergeCell ref="A62:A65"/>
    <mergeCell ref="A88:A91"/>
    <mergeCell ref="A80:J80"/>
    <mergeCell ref="A82:A84"/>
    <mergeCell ref="A85:J85"/>
    <mergeCell ref="A52:A56"/>
    <mergeCell ref="A57:J57"/>
    <mergeCell ref="A313:G313"/>
    <mergeCell ref="A305:J305"/>
    <mergeCell ref="A307:A308"/>
    <mergeCell ref="A301:J301"/>
    <mergeCell ref="A182:J182"/>
    <mergeCell ref="A171:G171"/>
    <mergeCell ref="A172:G172"/>
    <mergeCell ref="A75:J75"/>
    <mergeCell ref="A77:A78"/>
    <mergeCell ref="A175:J175"/>
    <mergeCell ref="A177:A180"/>
    <mergeCell ref="A181:J181"/>
    <mergeCell ref="A173:G173"/>
    <mergeCell ref="A155:G155"/>
    <mergeCell ref="A79:J79"/>
    <mergeCell ref="A132:J132"/>
    <mergeCell ref="A134:A136"/>
    <mergeCell ref="A137:J137"/>
    <mergeCell ref="A86:J86"/>
    <mergeCell ref="A131:J131"/>
    <mergeCell ref="A95:A101"/>
    <mergeCell ref="A102:J102"/>
    <mergeCell ref="A103:J103"/>
    <mergeCell ref="A126:J126"/>
    <mergeCell ref="A285:J285"/>
    <mergeCell ref="A286:G286"/>
    <mergeCell ref="A288:G288"/>
    <mergeCell ref="A222:J222"/>
    <mergeCell ref="A290:J290"/>
    <mergeCell ref="A249:J249"/>
    <mergeCell ref="A331:J331"/>
    <mergeCell ref="A333:A344"/>
    <mergeCell ref="A314:G314"/>
    <mergeCell ref="A315:J315"/>
    <mergeCell ref="A323:J323"/>
    <mergeCell ref="A325:A329"/>
    <mergeCell ref="A330:J330"/>
    <mergeCell ref="A316:J316"/>
    <mergeCell ref="A318:A319"/>
    <mergeCell ref="A320:J320"/>
    <mergeCell ref="A321:G321"/>
    <mergeCell ref="A292:A300"/>
    <mergeCell ref="A302:G302"/>
    <mergeCell ref="A303:G303"/>
    <mergeCell ref="A304:J304"/>
    <mergeCell ref="A322:J322"/>
    <mergeCell ref="A311:G311"/>
    <mergeCell ref="A312:G312"/>
    <mergeCell ref="A250:J250"/>
    <mergeCell ref="A252:A257"/>
    <mergeCell ref="A258:J258"/>
    <mergeCell ref="A259:J259"/>
    <mergeCell ref="A309:J309"/>
    <mergeCell ref="A310:G310"/>
    <mergeCell ref="A287:G287"/>
    <mergeCell ref="A289:J289"/>
    <mergeCell ref="A184:A187"/>
    <mergeCell ref="A274:A284"/>
    <mergeCell ref="A271:J271"/>
    <mergeCell ref="A236:A239"/>
    <mergeCell ref="A189:J189"/>
    <mergeCell ref="A204:J204"/>
    <mergeCell ref="A206:A209"/>
    <mergeCell ref="A210:J210"/>
    <mergeCell ref="A211:J211"/>
    <mergeCell ref="A213:A216"/>
    <mergeCell ref="A217:J217"/>
    <mergeCell ref="A241:J241"/>
    <mergeCell ref="A233:J233"/>
    <mergeCell ref="A261:A270"/>
    <mergeCell ref="A272:J272"/>
    <mergeCell ref="A234:J234"/>
    <mergeCell ref="A240:J240"/>
    <mergeCell ref="A243:A248"/>
    <mergeCell ref="A218:J218"/>
    <mergeCell ref="A220:A221"/>
    <mergeCell ref="A174:J174"/>
    <mergeCell ref="A188:J188"/>
    <mergeCell ref="A170:J170"/>
    <mergeCell ref="A154:G154"/>
    <mergeCell ref="A128:A130"/>
    <mergeCell ref="A223:J223"/>
    <mergeCell ref="A225:A232"/>
    <mergeCell ref="A156:G156"/>
    <mergeCell ref="A157:J157"/>
    <mergeCell ref="A158:J158"/>
    <mergeCell ref="A160:A169"/>
    <mergeCell ref="A195:J195"/>
    <mergeCell ref="A197:A202"/>
    <mergeCell ref="A203:J203"/>
    <mergeCell ref="A191:A193"/>
    <mergeCell ref="A194:J194"/>
    <mergeCell ref="A138:J138"/>
    <mergeCell ref="A153:J153"/>
    <mergeCell ref="A140:A152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8" r:id="rId8"/>
    <hyperlink ref="B19" r:id="rId9"/>
    <hyperlink ref="B20" r:id="rId10"/>
    <hyperlink ref="B21" r:id="rId11"/>
    <hyperlink ref="B22" r:id="rId12"/>
    <hyperlink ref="B23" r:id="rId13"/>
    <hyperlink ref="B24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4" r:id="rId22"/>
    <hyperlink ref="B36" r:id="rId23"/>
    <hyperlink ref="B38" r:id="rId24"/>
    <hyperlink ref="B42" r:id="rId25"/>
    <hyperlink ref="B43" r:id="rId26"/>
    <hyperlink ref="B44" r:id="rId27"/>
    <hyperlink ref="B45" r:id="rId28"/>
    <hyperlink ref="B46" r:id="rId29"/>
    <hyperlink ref="B47" r:id="rId30"/>
    <hyperlink ref="B48" r:id="rId31"/>
    <hyperlink ref="B88" r:id="rId32"/>
    <hyperlink ref="B89" r:id="rId33"/>
    <hyperlink ref="B90" r:id="rId34"/>
    <hyperlink ref="B91" r:id="rId35"/>
    <hyperlink ref="B95" r:id="rId36"/>
    <hyperlink ref="B96" r:id="rId37"/>
    <hyperlink ref="B98" r:id="rId38"/>
    <hyperlink ref="B101" r:id="rId39"/>
    <hyperlink ref="B97" r:id="rId40"/>
    <hyperlink ref="B99" r:id="rId41"/>
    <hyperlink ref="B100" r:id="rId42"/>
    <hyperlink ref="B128" r:id="rId43"/>
    <hyperlink ref="B129" r:id="rId44"/>
    <hyperlink ref="B130" r:id="rId45"/>
    <hyperlink ref="B140" r:id="rId46" display="SW-I-2"/>
    <hyperlink ref="B141" r:id="rId47" display="SW-I-5"/>
    <hyperlink ref="B142" r:id="rId48" display="SW-I-10"/>
    <hyperlink ref="B143" r:id="rId49" display="SW-I-20"/>
    <hyperlink ref="B148" r:id="rId50"/>
    <hyperlink ref="B150" r:id="rId51"/>
    <hyperlink ref="B152" r:id="rId52"/>
    <hyperlink ref="B160" r:id="rId53" display="SW-II-2"/>
    <hyperlink ref="B162" r:id="rId54" display="SW-II-5"/>
    <hyperlink ref="B164" r:id="rId55" display="SW-II-10"/>
    <hyperlink ref="B166" r:id="rId56" display="SW-II-30"/>
    <hyperlink ref="B177" r:id="rId57"/>
    <hyperlink ref="B178" r:id="rId58"/>
    <hyperlink ref="B179" r:id="rId59"/>
    <hyperlink ref="B180" r:id="rId60"/>
    <hyperlink ref="B184" r:id="rId61"/>
    <hyperlink ref="B185" r:id="rId62"/>
    <hyperlink ref="B186" r:id="rId63"/>
    <hyperlink ref="B187" r:id="rId64"/>
    <hyperlink ref="B197" r:id="rId65" display="BW-6"/>
    <hyperlink ref="B198" r:id="rId66" display="BW-15"/>
    <hyperlink ref="B199" r:id="rId67" display="BW-30"/>
    <hyperlink ref="B200" r:id="rId68" display="BW-60"/>
    <hyperlink ref="B201" r:id="rId69" display="BW-150"/>
    <hyperlink ref="B202" r:id="rId70" display="BW-500"/>
    <hyperlink ref="B206" r:id="rId71"/>
    <hyperlink ref="B207" r:id="rId72"/>
    <hyperlink ref="B208" r:id="rId73"/>
    <hyperlink ref="B209" r:id="rId74"/>
    <hyperlink ref="B213" r:id="rId75" display="DB-1H 60"/>
    <hyperlink ref="B214" r:id="rId76" display="DB-1H 150"/>
    <hyperlink ref="B215" r:id="rId77" display="DB-1H 200"/>
    <hyperlink ref="B216" r:id="rId78"/>
    <hyperlink ref="B220" r:id="rId79"/>
    <hyperlink ref="B221" r:id="rId80"/>
    <hyperlink ref="B237" r:id="rId81"/>
    <hyperlink ref="B238" r:id="rId82"/>
    <hyperlink ref="B239" r:id="rId83"/>
    <hyperlink ref="B307" r:id="rId84" display="RW-10P"/>
    <hyperlink ref="B308" r:id="rId85" display="RW-15P"/>
    <hyperlink ref="B325" r:id="rId86"/>
    <hyperlink ref="B326" r:id="rId87"/>
    <hyperlink ref="B327" r:id="rId88"/>
    <hyperlink ref="B328" r:id="rId89"/>
    <hyperlink ref="B329" r:id="rId90"/>
    <hyperlink ref="B333" r:id="rId91"/>
    <hyperlink ref="B334" r:id="rId92"/>
    <hyperlink ref="B336" r:id="rId93"/>
    <hyperlink ref="B337" r:id="rId94"/>
    <hyperlink ref="B335" r:id="rId95" display="2 THD с BT"/>
    <hyperlink ref="B338" r:id="rId96" display="5 THD с BT"/>
    <hyperlink ref="B339" r:id="rId97"/>
    <hyperlink ref="B340" r:id="rId98" display="10 THD с BT"/>
    <hyperlink ref="B341" r:id="rId99"/>
    <hyperlink ref="B342" r:id="rId100" display="15 THD с BT"/>
    <hyperlink ref="B343" r:id="rId101"/>
    <hyperlink ref="B344" r:id="rId102" display="20 THD с BT"/>
    <hyperlink ref="B10" r:id="rId103"/>
    <hyperlink ref="B12" r:id="rId104"/>
    <hyperlink ref="B11" r:id="rId105"/>
    <hyperlink ref="B33" r:id="rId106"/>
    <hyperlink ref="B69" r:id="rId107"/>
    <hyperlink ref="B70" r:id="rId108"/>
    <hyperlink ref="B71" r:id="rId109"/>
    <hyperlink ref="B72" r:id="rId110"/>
    <hyperlink ref="B73" r:id="rId111"/>
    <hyperlink ref="B191" r:id="rId112"/>
    <hyperlink ref="B192" r:id="rId113"/>
    <hyperlink ref="B193" r:id="rId114"/>
    <hyperlink ref="B25" r:id="rId115"/>
    <hyperlink ref="B35" r:id="rId116"/>
    <hyperlink ref="B37" r:id="rId117"/>
    <hyperlink ref="B62" r:id="rId118"/>
    <hyperlink ref="B63" r:id="rId119"/>
    <hyperlink ref="B64" r:id="rId120"/>
    <hyperlink ref="B65" r:id="rId121"/>
    <hyperlink ref="B77" r:id="rId122"/>
    <hyperlink ref="B78" r:id="rId123"/>
    <hyperlink ref="B134" r:id="rId124"/>
    <hyperlink ref="B135" r:id="rId125"/>
    <hyperlink ref="B136" r:id="rId126"/>
    <hyperlink ref="B144" r:id="rId127"/>
    <hyperlink ref="B145" r:id="rId128"/>
    <hyperlink ref="B146" r:id="rId129"/>
    <hyperlink ref="B147" r:id="rId130"/>
    <hyperlink ref="B149" r:id="rId131"/>
    <hyperlink ref="B151" r:id="rId132"/>
    <hyperlink ref="B161" r:id="rId133"/>
    <hyperlink ref="B163" r:id="rId134"/>
    <hyperlink ref="B165" r:id="rId135"/>
    <hyperlink ref="B167" r:id="rId136"/>
    <hyperlink ref="B168" r:id="rId137"/>
    <hyperlink ref="B169" r:id="rId138"/>
    <hyperlink ref="B236" r:id="rId139"/>
    <hyperlink ref="B225" r:id="rId140"/>
    <hyperlink ref="B226" r:id="rId141"/>
    <hyperlink ref="B227" r:id="rId142"/>
    <hyperlink ref="B228" r:id="rId143"/>
    <hyperlink ref="B229" r:id="rId144"/>
    <hyperlink ref="B230" r:id="rId145"/>
    <hyperlink ref="B231" r:id="rId146"/>
    <hyperlink ref="B232" r:id="rId147"/>
    <hyperlink ref="B52" r:id="rId148"/>
    <hyperlink ref="B53" r:id="rId149"/>
    <hyperlink ref="B54" r:id="rId150"/>
    <hyperlink ref="B55" r:id="rId151"/>
    <hyperlink ref="B56" r:id="rId152"/>
    <hyperlink ref="B112" r:id="rId153"/>
    <hyperlink ref="B113" r:id="rId154"/>
    <hyperlink ref="B114" r:id="rId155"/>
    <hyperlink ref="B111" r:id="rId156"/>
    <hyperlink ref="B115" r:id="rId157"/>
    <hyperlink ref="B116" r:id="rId158"/>
    <hyperlink ref="B117" r:id="rId159"/>
    <hyperlink ref="B118" r:id="rId160"/>
    <hyperlink ref="B105" r:id="rId161"/>
    <hyperlink ref="B106" r:id="rId162"/>
    <hyperlink ref="B107" r:id="rId163"/>
    <hyperlink ref="B108" r:id="rId164"/>
    <hyperlink ref="B109" r:id="rId165"/>
    <hyperlink ref="B110" r:id="rId166"/>
    <hyperlink ref="B119" r:id="rId167"/>
    <hyperlink ref="B120" r:id="rId168"/>
    <hyperlink ref="B82" r:id="rId169"/>
    <hyperlink ref="B83" r:id="rId170"/>
    <hyperlink ref="B84" r:id="rId171"/>
  </hyperlinks>
  <pageMargins left="0.7" right="0.7" top="0.75" bottom="0.75" header="0.3" footer="0.3"/>
  <pageSetup paperSize="9" orientation="portrait" r:id="rId172"/>
  <ignoredErrors>
    <ignoredError sqref="H28 H44 H64 H97 H123 H149 H151 H161 H163 H165 H244 H246" formula="1"/>
  </ignoredErrors>
  <drawing r:id="rId17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16"/>
  <sheetViews>
    <sheetView topLeftCell="A16" zoomScale="90" zoomScaleNormal="90" workbookViewId="0">
      <selection activeCell="I13" sqref="I13:J16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5" style="1" hidden="1" customWidth="1"/>
    <col min="13" max="13" width="0" style="1" hidden="1" customWidth="1"/>
    <col min="14" max="16384" width="9.109375" style="1"/>
  </cols>
  <sheetData>
    <row r="1" spans="1:13" ht="39.9" customHeight="1" x14ac:dyDescent="0.3">
      <c r="A1" s="139" t="s">
        <v>1862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3" ht="30" customHeight="1" x14ac:dyDescent="0.3">
      <c r="A2" s="5"/>
      <c r="B2" s="3" t="s">
        <v>2</v>
      </c>
      <c r="C2" s="4" t="s">
        <v>42</v>
      </c>
      <c r="D2" s="4" t="s">
        <v>43</v>
      </c>
      <c r="E2" s="3" t="s">
        <v>9</v>
      </c>
      <c r="F2" s="3" t="s">
        <v>10</v>
      </c>
      <c r="G2" s="4" t="s">
        <v>11</v>
      </c>
      <c r="H2" s="4" t="s">
        <v>17</v>
      </c>
      <c r="I2" s="4"/>
      <c r="J2" s="4"/>
    </row>
    <row r="3" spans="1:13" ht="20.100000000000001" customHeight="1" x14ac:dyDescent="0.3">
      <c r="A3" s="147"/>
      <c r="B3" s="20" t="s">
        <v>1884</v>
      </c>
      <c r="C3" s="21" t="s">
        <v>45</v>
      </c>
      <c r="D3" s="21" t="s">
        <v>48</v>
      </c>
      <c r="E3" s="21" t="s">
        <v>127</v>
      </c>
      <c r="F3" s="21" t="s">
        <v>15</v>
      </c>
      <c r="G3" s="5" t="s">
        <v>194</v>
      </c>
      <c r="H3" s="9">
        <f>CEILING(398*USD,10)</f>
        <v>30350</v>
      </c>
      <c r="I3" s="8"/>
      <c r="J3" s="9"/>
      <c r="L3" s="12" t="s">
        <v>1716</v>
      </c>
    </row>
    <row r="4" spans="1:13" ht="20.100000000000001" customHeight="1" x14ac:dyDescent="0.3">
      <c r="A4" s="147"/>
      <c r="B4" s="20" t="s">
        <v>1885</v>
      </c>
      <c r="C4" s="21" t="s">
        <v>189</v>
      </c>
      <c r="D4" s="21" t="s">
        <v>184</v>
      </c>
      <c r="E4" s="21" t="s">
        <v>127</v>
      </c>
      <c r="F4" s="21" t="s">
        <v>15</v>
      </c>
      <c r="G4" s="5" t="s">
        <v>194</v>
      </c>
      <c r="H4" s="9">
        <f>CEILING(337*USD,10)</f>
        <v>25700</v>
      </c>
      <c r="I4" s="8"/>
      <c r="J4" s="9"/>
      <c r="L4" s="12" t="s">
        <v>1716</v>
      </c>
    </row>
    <row r="5" spans="1:13" ht="20.100000000000001" customHeight="1" x14ac:dyDescent="0.3">
      <c r="A5" s="147"/>
      <c r="B5" s="20" t="s">
        <v>1886</v>
      </c>
      <c r="C5" s="21" t="s">
        <v>190</v>
      </c>
      <c r="D5" s="21" t="s">
        <v>49</v>
      </c>
      <c r="E5" s="21" t="s">
        <v>193</v>
      </c>
      <c r="F5" s="21" t="s">
        <v>15</v>
      </c>
      <c r="G5" s="5" t="s">
        <v>194</v>
      </c>
      <c r="H5" s="9">
        <f>CEILING(337*USD,10)</f>
        <v>25700</v>
      </c>
      <c r="I5" s="8"/>
      <c r="J5" s="9"/>
      <c r="L5" s="12" t="s">
        <v>1716</v>
      </c>
    </row>
    <row r="6" spans="1:13" ht="20.100000000000001" customHeight="1" x14ac:dyDescent="0.3">
      <c r="A6" s="147"/>
      <c r="B6" s="20" t="s">
        <v>1887</v>
      </c>
      <c r="C6" s="21" t="s">
        <v>191</v>
      </c>
      <c r="D6" s="21" t="s">
        <v>49</v>
      </c>
      <c r="E6" s="21" t="s">
        <v>127</v>
      </c>
      <c r="F6" s="21" t="s">
        <v>15</v>
      </c>
      <c r="G6" s="5" t="s">
        <v>194</v>
      </c>
      <c r="H6" s="9">
        <f>CEILING(357*USD,10)</f>
        <v>27230</v>
      </c>
      <c r="I6" s="8"/>
      <c r="J6" s="9"/>
      <c r="L6" s="12" t="s">
        <v>1716</v>
      </c>
    </row>
    <row r="7" spans="1:13" ht="20.100000000000001" customHeight="1" x14ac:dyDescent="0.3">
      <c r="A7" s="147"/>
      <c r="B7" s="20" t="s">
        <v>1888</v>
      </c>
      <c r="C7" s="21" t="s">
        <v>191</v>
      </c>
      <c r="D7" s="21" t="s">
        <v>185</v>
      </c>
      <c r="E7" s="21" t="s">
        <v>127</v>
      </c>
      <c r="F7" s="21" t="s">
        <v>15</v>
      </c>
      <c r="G7" s="5" t="s">
        <v>194</v>
      </c>
      <c r="H7" s="9">
        <f>CEILING(337*USD,10)</f>
        <v>25700</v>
      </c>
      <c r="I7" s="8"/>
      <c r="J7" s="9"/>
      <c r="L7" s="12" t="s">
        <v>1716</v>
      </c>
    </row>
    <row r="8" spans="1:13" ht="20.100000000000001" customHeight="1" x14ac:dyDescent="0.3">
      <c r="A8" s="147"/>
      <c r="B8" s="20" t="s">
        <v>1889</v>
      </c>
      <c r="C8" s="21" t="s">
        <v>56</v>
      </c>
      <c r="D8" s="21" t="s">
        <v>49</v>
      </c>
      <c r="E8" s="21" t="s">
        <v>127</v>
      </c>
      <c r="F8" s="21" t="s">
        <v>15</v>
      </c>
      <c r="G8" s="5" t="s">
        <v>194</v>
      </c>
      <c r="H8" s="9">
        <f>CEILING(388*USD,10)</f>
        <v>29590</v>
      </c>
      <c r="I8" s="8"/>
      <c r="J8" s="9"/>
      <c r="L8" s="12" t="s">
        <v>1716</v>
      </c>
    </row>
    <row r="9" spans="1:13" ht="20.100000000000001" customHeight="1" x14ac:dyDescent="0.3">
      <c r="A9" s="147"/>
      <c r="B9" s="20" t="s">
        <v>1890</v>
      </c>
      <c r="C9" s="21" t="s">
        <v>179</v>
      </c>
      <c r="D9" s="21" t="s">
        <v>186</v>
      </c>
      <c r="E9" s="21" t="s">
        <v>127</v>
      </c>
      <c r="F9" s="21" t="s">
        <v>15</v>
      </c>
      <c r="G9" s="5" t="s">
        <v>194</v>
      </c>
      <c r="H9" s="9">
        <f>CEILING(337*USD,10)</f>
        <v>25700</v>
      </c>
      <c r="I9" s="8"/>
      <c r="J9" s="9"/>
      <c r="L9" s="12" t="s">
        <v>1716</v>
      </c>
    </row>
    <row r="10" spans="1:13" ht="20.100000000000001" customHeight="1" x14ac:dyDescent="0.3">
      <c r="A10" s="147"/>
      <c r="B10" s="20" t="s">
        <v>1891</v>
      </c>
      <c r="C10" s="21" t="s">
        <v>192</v>
      </c>
      <c r="D10" s="21" t="s">
        <v>50</v>
      </c>
      <c r="E10" s="21" t="s">
        <v>193</v>
      </c>
      <c r="F10" s="21" t="s">
        <v>15</v>
      </c>
      <c r="G10" s="5" t="s">
        <v>194</v>
      </c>
      <c r="H10" s="9">
        <f>CEILING(337*USD,10)</f>
        <v>25700</v>
      </c>
      <c r="I10" s="8"/>
      <c r="J10" s="9"/>
      <c r="L10" s="12" t="s">
        <v>1716</v>
      </c>
    </row>
    <row r="11" spans="1:13" ht="20.100000000000001" customHeight="1" x14ac:dyDescent="0.3">
      <c r="A11" s="147"/>
      <c r="B11" s="147"/>
      <c r="C11" s="147"/>
      <c r="D11" s="147"/>
      <c r="E11" s="147"/>
      <c r="F11" s="147"/>
      <c r="G11" s="147"/>
      <c r="H11" s="147"/>
      <c r="I11" s="147"/>
      <c r="J11" s="147"/>
      <c r="M11" s="12"/>
    </row>
    <row r="12" spans="1:13" ht="39.9" customHeight="1" x14ac:dyDescent="0.3">
      <c r="A12" s="139" t="s">
        <v>1991</v>
      </c>
      <c r="B12" s="140"/>
      <c r="C12" s="140"/>
      <c r="D12" s="140"/>
      <c r="E12" s="140"/>
      <c r="F12" s="140"/>
      <c r="G12" s="140"/>
      <c r="H12" s="140"/>
      <c r="I12" s="140"/>
      <c r="J12" s="140"/>
    </row>
    <row r="13" spans="1:13" ht="30" customHeight="1" x14ac:dyDescent="0.3">
      <c r="A13" s="126"/>
      <c r="B13" s="38" t="s">
        <v>2</v>
      </c>
      <c r="C13" s="4" t="s">
        <v>42</v>
      </c>
      <c r="D13" s="4" t="s">
        <v>1409</v>
      </c>
      <c r="E13" s="38" t="s">
        <v>9</v>
      </c>
      <c r="F13" s="38" t="s">
        <v>10</v>
      </c>
      <c r="G13" s="4" t="s">
        <v>11</v>
      </c>
      <c r="H13" s="80" t="s">
        <v>17</v>
      </c>
      <c r="I13" s="80"/>
      <c r="J13" s="80"/>
    </row>
    <row r="14" spans="1:13" ht="39.9" customHeight="1" x14ac:dyDescent="0.3">
      <c r="A14" s="147"/>
      <c r="B14" s="72" t="s">
        <v>1892</v>
      </c>
      <c r="C14" s="21" t="s">
        <v>711</v>
      </c>
      <c r="D14" s="126" t="s">
        <v>330</v>
      </c>
      <c r="E14" s="126" t="s">
        <v>950</v>
      </c>
      <c r="F14" s="126" t="s">
        <v>13</v>
      </c>
      <c r="G14" s="126" t="s">
        <v>1896</v>
      </c>
      <c r="H14" s="9">
        <f>CEILING(1780*USD,10)</f>
        <v>135730</v>
      </c>
      <c r="I14" s="8"/>
      <c r="J14" s="9"/>
      <c r="L14" s="12"/>
    </row>
    <row r="15" spans="1:13" ht="39.9" customHeight="1" x14ac:dyDescent="0.3">
      <c r="A15" s="147"/>
      <c r="B15" s="72" t="s">
        <v>1893</v>
      </c>
      <c r="C15" s="21" t="s">
        <v>1542</v>
      </c>
      <c r="D15" s="126" t="s">
        <v>330</v>
      </c>
      <c r="E15" s="126" t="s">
        <v>950</v>
      </c>
      <c r="F15" s="126" t="s">
        <v>13</v>
      </c>
      <c r="G15" s="127" t="s">
        <v>1896</v>
      </c>
      <c r="H15" s="9">
        <f>CEILING(2050*USD,10)</f>
        <v>156320</v>
      </c>
      <c r="I15" s="8"/>
      <c r="J15" s="9"/>
      <c r="L15" s="12"/>
    </row>
    <row r="16" spans="1:13" ht="39.9" customHeight="1" x14ac:dyDescent="0.3">
      <c r="A16" s="147"/>
      <c r="B16" s="72" t="s">
        <v>1894</v>
      </c>
      <c r="C16" s="21" t="s">
        <v>195</v>
      </c>
      <c r="D16" s="126" t="s">
        <v>1895</v>
      </c>
      <c r="E16" s="126" t="s">
        <v>950</v>
      </c>
      <c r="F16" s="126" t="s">
        <v>13</v>
      </c>
      <c r="G16" s="127" t="s">
        <v>1896</v>
      </c>
      <c r="H16" s="9">
        <f>CEILING(1690*USD,10)</f>
        <v>128870</v>
      </c>
      <c r="I16" s="8"/>
      <c r="J16" s="9"/>
      <c r="L16" s="12"/>
    </row>
  </sheetData>
  <mergeCells count="5">
    <mergeCell ref="A1:J1"/>
    <mergeCell ref="A3:A10"/>
    <mergeCell ref="A11:J11"/>
    <mergeCell ref="A12:J12"/>
    <mergeCell ref="A14:A16"/>
  </mergeCells>
  <hyperlinks>
    <hyperlink ref="B10" r:id="rId1" display="HCB 3001"/>
    <hyperlink ref="B4" r:id="rId2" display="HCB 153"/>
    <hyperlink ref="B5" r:id="rId3" display="HCB 302"/>
    <hyperlink ref="B9" r:id="rId4" display="HCB 1502"/>
    <hyperlink ref="B7" r:id="rId5" display="HCB 602"/>
    <hyperlink ref="B6" r:id="rId6" display="HCB 602H"/>
    <hyperlink ref="B8" r:id="rId7" display="HCB 1002"/>
    <hyperlink ref="B3" r:id="rId8" display="HCB 123"/>
    <hyperlink ref="B14" r:id="rId9"/>
    <hyperlink ref="B15" r:id="rId10"/>
    <hyperlink ref="B16" r:id="rId11"/>
  </hyperlinks>
  <pageMargins left="0.7" right="0.7" top="0.75" bottom="0.75" header="0.3" footer="0.3"/>
  <pageSetup paperSize="9" orientation="portrait" horizontalDpi="300" verticalDpi="300" r:id="rId12"/>
  <ignoredErrors>
    <ignoredError sqref="H6 H8" formula="1"/>
  </ignoredErrors>
  <drawing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27"/>
  <sheetViews>
    <sheetView topLeftCell="A22" zoomScale="90" zoomScaleNormal="90" workbookViewId="0">
      <selection activeCell="I23" sqref="I23:J27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3.88671875" style="1" hidden="1" customWidth="1"/>
    <col min="13" max="13" width="0" style="1" hidden="1" customWidth="1"/>
    <col min="14" max="16384" width="9.109375" style="1"/>
  </cols>
  <sheetData>
    <row r="1" spans="1:12" ht="39.9" customHeight="1" x14ac:dyDescent="0.3">
      <c r="A1" s="139" t="s">
        <v>1495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2" ht="30" customHeight="1" x14ac:dyDescent="0.3">
      <c r="A2" s="5"/>
      <c r="B2" s="3" t="s">
        <v>2</v>
      </c>
      <c r="C2" s="4" t="s">
        <v>42</v>
      </c>
      <c r="D2" s="4" t="s">
        <v>43</v>
      </c>
      <c r="E2" s="3" t="s">
        <v>9</v>
      </c>
      <c r="F2" s="3" t="s">
        <v>10</v>
      </c>
      <c r="G2" s="4" t="s">
        <v>11</v>
      </c>
      <c r="H2" s="4" t="s">
        <v>17</v>
      </c>
      <c r="I2" s="4"/>
      <c r="J2" s="4"/>
    </row>
    <row r="3" spans="1:12" ht="39.9" customHeight="1" x14ac:dyDescent="0.3">
      <c r="A3" s="147"/>
      <c r="B3" s="20" t="s">
        <v>197</v>
      </c>
      <c r="C3" s="21" t="s">
        <v>195</v>
      </c>
      <c r="D3" s="21" t="s">
        <v>49</v>
      </c>
      <c r="E3" s="21" t="s">
        <v>909</v>
      </c>
      <c r="F3" s="21" t="s">
        <v>13</v>
      </c>
      <c r="G3" s="5" t="s">
        <v>203</v>
      </c>
      <c r="H3" s="9">
        <f>CEILING(296*USD,10)</f>
        <v>22570</v>
      </c>
      <c r="I3" s="8"/>
      <c r="J3" s="9"/>
      <c r="L3" s="12" t="s">
        <v>1715</v>
      </c>
    </row>
    <row r="4" spans="1:12" ht="39.9" customHeight="1" x14ac:dyDescent="0.3">
      <c r="A4" s="147"/>
      <c r="B4" s="20" t="s">
        <v>198</v>
      </c>
      <c r="C4" s="21" t="s">
        <v>190</v>
      </c>
      <c r="D4" s="21" t="s">
        <v>49</v>
      </c>
      <c r="E4" s="21" t="s">
        <v>909</v>
      </c>
      <c r="F4" s="21" t="s">
        <v>13</v>
      </c>
      <c r="G4" s="5" t="s">
        <v>203</v>
      </c>
      <c r="H4" s="9">
        <f>CEILING(316*USD,10)</f>
        <v>24100</v>
      </c>
      <c r="I4" s="8"/>
      <c r="J4" s="9"/>
      <c r="L4" s="12" t="s">
        <v>1715</v>
      </c>
    </row>
    <row r="5" spans="1:12" ht="39.9" customHeight="1" x14ac:dyDescent="0.3">
      <c r="A5" s="147"/>
      <c r="B5" s="20" t="s">
        <v>199</v>
      </c>
      <c r="C5" s="21" t="s">
        <v>191</v>
      </c>
      <c r="D5" s="21" t="s">
        <v>185</v>
      </c>
      <c r="E5" s="21" t="s">
        <v>909</v>
      </c>
      <c r="F5" s="21" t="s">
        <v>13</v>
      </c>
      <c r="G5" s="5" t="s">
        <v>203</v>
      </c>
      <c r="H5" s="9">
        <f>CEILING(316*USD,10)</f>
        <v>24100</v>
      </c>
      <c r="I5" s="8"/>
      <c r="J5" s="9"/>
      <c r="L5" s="12" t="s">
        <v>1715</v>
      </c>
    </row>
    <row r="6" spans="1:12" ht="39.9" customHeight="1" x14ac:dyDescent="0.3">
      <c r="A6" s="147"/>
      <c r="B6" s="20" t="s">
        <v>200</v>
      </c>
      <c r="C6" s="21" t="s">
        <v>179</v>
      </c>
      <c r="D6" s="21" t="s">
        <v>186</v>
      </c>
      <c r="E6" s="21" t="s">
        <v>909</v>
      </c>
      <c r="F6" s="21" t="s">
        <v>13</v>
      </c>
      <c r="G6" s="5" t="s">
        <v>204</v>
      </c>
      <c r="H6" s="9">
        <f>CEILING(316*USD,10)</f>
        <v>24100</v>
      </c>
      <c r="I6" s="8"/>
      <c r="J6" s="9"/>
      <c r="L6" s="12" t="s">
        <v>1715</v>
      </c>
    </row>
    <row r="7" spans="1:12" ht="39.9" customHeight="1" x14ac:dyDescent="0.3">
      <c r="A7" s="147"/>
      <c r="B7" s="20" t="s">
        <v>201</v>
      </c>
      <c r="C7" s="21" t="s">
        <v>175</v>
      </c>
      <c r="D7" s="21" t="s">
        <v>50</v>
      </c>
      <c r="E7" s="21" t="s">
        <v>909</v>
      </c>
      <c r="F7" s="21" t="s">
        <v>13</v>
      </c>
      <c r="G7" s="5" t="s">
        <v>204</v>
      </c>
      <c r="H7" s="9">
        <f>CEILING(296*USD,10)</f>
        <v>22570</v>
      </c>
      <c r="I7" s="8"/>
      <c r="J7" s="9"/>
      <c r="L7" s="12" t="s">
        <v>1715</v>
      </c>
    </row>
    <row r="8" spans="1:12" ht="39.9" customHeight="1" x14ac:dyDescent="0.3">
      <c r="A8" s="147"/>
      <c r="B8" s="20" t="s">
        <v>202</v>
      </c>
      <c r="C8" s="21" t="s">
        <v>192</v>
      </c>
      <c r="D8" s="21" t="s">
        <v>50</v>
      </c>
      <c r="E8" s="21" t="s">
        <v>909</v>
      </c>
      <c r="F8" s="21" t="s">
        <v>13</v>
      </c>
      <c r="G8" s="5" t="s">
        <v>204</v>
      </c>
      <c r="H8" s="9">
        <f>CEILING(316*USD,10)</f>
        <v>24100</v>
      </c>
      <c r="I8" s="8"/>
      <c r="J8" s="9"/>
      <c r="L8" s="12" t="s">
        <v>1715</v>
      </c>
    </row>
    <row r="9" spans="1:12" ht="20.100000000000001" customHeight="1" x14ac:dyDescent="0.3">
      <c r="A9" s="159" t="s">
        <v>67</v>
      </c>
      <c r="B9" s="159"/>
      <c r="C9" s="159"/>
      <c r="D9" s="159"/>
      <c r="E9" s="159"/>
      <c r="F9" s="159"/>
      <c r="G9" s="159"/>
      <c r="H9" s="159"/>
      <c r="I9" s="159"/>
      <c r="J9" s="159"/>
    </row>
    <row r="10" spans="1:12" ht="20.100000000000001" customHeight="1" x14ac:dyDescent="0.3">
      <c r="A10" s="181" t="s">
        <v>205</v>
      </c>
      <c r="B10" s="182"/>
      <c r="C10" s="182"/>
      <c r="D10" s="182"/>
      <c r="E10" s="182"/>
      <c r="F10" s="182"/>
      <c r="G10" s="183"/>
      <c r="H10" s="9">
        <f>CEILING(21*USD,10)</f>
        <v>1610</v>
      </c>
      <c r="I10" s="8"/>
      <c r="J10" s="9"/>
    </row>
    <row r="11" spans="1:12" ht="20.100000000000001" customHeight="1" x14ac:dyDescent="0.3">
      <c r="A11" s="181" t="s">
        <v>206</v>
      </c>
      <c r="B11" s="182"/>
      <c r="C11" s="182"/>
      <c r="D11" s="182"/>
      <c r="E11" s="182"/>
      <c r="F11" s="182"/>
      <c r="G11" s="183"/>
      <c r="H11" s="9">
        <f>CEILING(2*USD,10)</f>
        <v>160</v>
      </c>
      <c r="I11" s="8"/>
      <c r="J11" s="9"/>
    </row>
    <row r="12" spans="1:12" ht="20.100000000000001" customHeight="1" x14ac:dyDescent="0.3">
      <c r="A12" s="158"/>
      <c r="B12" s="158"/>
      <c r="C12" s="158"/>
      <c r="D12" s="158"/>
      <c r="E12" s="158"/>
      <c r="F12" s="158"/>
      <c r="G12" s="158"/>
      <c r="H12" s="158"/>
      <c r="I12" s="158"/>
      <c r="J12" s="158"/>
    </row>
    <row r="13" spans="1:12" ht="39.9" customHeight="1" x14ac:dyDescent="0.3">
      <c r="A13" s="139" t="s">
        <v>1496</v>
      </c>
      <c r="B13" s="140"/>
      <c r="C13" s="140"/>
      <c r="D13" s="140"/>
      <c r="E13" s="140"/>
      <c r="F13" s="140"/>
      <c r="G13" s="140"/>
      <c r="H13" s="140"/>
      <c r="I13" s="140"/>
      <c r="J13" s="140"/>
    </row>
    <row r="14" spans="1:12" ht="30" customHeight="1" x14ac:dyDescent="0.3">
      <c r="A14" s="5"/>
      <c r="B14" s="3" t="s">
        <v>2</v>
      </c>
      <c r="C14" s="4" t="s">
        <v>42</v>
      </c>
      <c r="D14" s="4" t="s">
        <v>43</v>
      </c>
      <c r="E14" s="3" t="s">
        <v>9</v>
      </c>
      <c r="F14" s="3" t="s">
        <v>10</v>
      </c>
      <c r="G14" s="4" t="s">
        <v>11</v>
      </c>
      <c r="H14" s="4" t="s">
        <v>17</v>
      </c>
      <c r="I14" s="4"/>
      <c r="J14" s="4"/>
    </row>
    <row r="15" spans="1:12" ht="60" customHeight="1" x14ac:dyDescent="0.3">
      <c r="A15" s="147"/>
      <c r="B15" s="20" t="s">
        <v>207</v>
      </c>
      <c r="C15" s="21" t="s">
        <v>195</v>
      </c>
      <c r="D15" s="21" t="s">
        <v>185</v>
      </c>
      <c r="E15" s="21" t="s">
        <v>909</v>
      </c>
      <c r="F15" s="21" t="s">
        <v>13</v>
      </c>
      <c r="G15" s="5" t="s">
        <v>203</v>
      </c>
      <c r="H15" s="9">
        <f>CEILING(347*USD,10)</f>
        <v>26460</v>
      </c>
      <c r="I15" s="8"/>
      <c r="J15" s="9"/>
    </row>
    <row r="16" spans="1:12" ht="60" customHeight="1" x14ac:dyDescent="0.3">
      <c r="A16" s="147"/>
      <c r="B16" s="20" t="s">
        <v>208</v>
      </c>
      <c r="C16" s="21" t="s">
        <v>211</v>
      </c>
      <c r="D16" s="21" t="s">
        <v>186</v>
      </c>
      <c r="E16" s="21" t="s">
        <v>909</v>
      </c>
      <c r="F16" s="21" t="s">
        <v>13</v>
      </c>
      <c r="G16" s="5" t="s">
        <v>203</v>
      </c>
      <c r="H16" s="9">
        <f>CEILING(347*USD,10)</f>
        <v>26460</v>
      </c>
      <c r="I16" s="8"/>
      <c r="J16" s="9"/>
    </row>
    <row r="17" spans="1:10" ht="60" customHeight="1" x14ac:dyDescent="0.3">
      <c r="A17" s="147"/>
      <c r="B17" s="20" t="s">
        <v>209</v>
      </c>
      <c r="C17" s="21" t="s">
        <v>56</v>
      </c>
      <c r="D17" s="21" t="s">
        <v>50</v>
      </c>
      <c r="E17" s="21" t="s">
        <v>909</v>
      </c>
      <c r="F17" s="21" t="s">
        <v>13</v>
      </c>
      <c r="G17" s="5" t="s">
        <v>204</v>
      </c>
      <c r="H17" s="9">
        <f>CEILING(347*USD,10)</f>
        <v>26460</v>
      </c>
      <c r="I17" s="8"/>
      <c r="J17" s="9"/>
    </row>
    <row r="18" spans="1:10" ht="60" customHeight="1" x14ac:dyDescent="0.3">
      <c r="A18" s="147"/>
      <c r="B18" s="20" t="s">
        <v>210</v>
      </c>
      <c r="C18" s="21" t="s">
        <v>175</v>
      </c>
      <c r="D18" s="21" t="s">
        <v>212</v>
      </c>
      <c r="E18" s="21" t="s">
        <v>909</v>
      </c>
      <c r="F18" s="21" t="s">
        <v>13</v>
      </c>
      <c r="G18" s="5" t="s">
        <v>204</v>
      </c>
      <c r="H18" s="9">
        <f>CEILING(347*USD,10)</f>
        <v>26460</v>
      </c>
      <c r="I18" s="8"/>
      <c r="J18" s="9"/>
    </row>
    <row r="19" spans="1:10" ht="20.100000000000001" customHeight="1" x14ac:dyDescent="0.3">
      <c r="A19" s="159" t="s">
        <v>67</v>
      </c>
      <c r="B19" s="159"/>
      <c r="C19" s="159"/>
      <c r="D19" s="159"/>
      <c r="E19" s="159"/>
      <c r="F19" s="159"/>
      <c r="G19" s="159"/>
      <c r="H19" s="159"/>
      <c r="I19" s="159"/>
      <c r="J19" s="159"/>
    </row>
    <row r="20" spans="1:10" ht="20.100000000000001" customHeight="1" x14ac:dyDescent="0.3">
      <c r="A20" s="181" t="s">
        <v>205</v>
      </c>
      <c r="B20" s="182"/>
      <c r="C20" s="182"/>
      <c r="D20" s="182"/>
      <c r="E20" s="182"/>
      <c r="F20" s="182"/>
      <c r="G20" s="183"/>
      <c r="H20" s="9">
        <f>CEILING(21*USD,10)</f>
        <v>1610</v>
      </c>
      <c r="I20" s="8"/>
      <c r="J20" s="9"/>
    </row>
    <row r="21" spans="1:10" ht="20.100000000000001" customHeight="1" x14ac:dyDescent="0.3">
      <c r="A21" s="149"/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0" ht="30" customHeight="1" x14ac:dyDescent="0.3">
      <c r="A22" s="140" t="s">
        <v>1403</v>
      </c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ht="30" customHeight="1" x14ac:dyDescent="0.3">
      <c r="A23" s="5"/>
      <c r="B23" s="3" t="s">
        <v>2</v>
      </c>
      <c r="C23" s="4" t="s">
        <v>42</v>
      </c>
      <c r="D23" s="4" t="s">
        <v>43</v>
      </c>
      <c r="E23" s="3" t="s">
        <v>9</v>
      </c>
      <c r="F23" s="3" t="s">
        <v>10</v>
      </c>
      <c r="G23" s="4" t="s">
        <v>11</v>
      </c>
      <c r="H23" s="4" t="s">
        <v>17</v>
      </c>
      <c r="I23" s="4"/>
      <c r="J23" s="4"/>
    </row>
    <row r="24" spans="1:10" ht="30" customHeight="1" x14ac:dyDescent="0.3">
      <c r="A24" s="147"/>
      <c r="B24" s="28" t="s">
        <v>225</v>
      </c>
      <c r="C24" s="21" t="s">
        <v>220</v>
      </c>
      <c r="D24" s="21" t="s">
        <v>222</v>
      </c>
      <c r="E24" s="21" t="s">
        <v>188</v>
      </c>
      <c r="F24" s="21" t="s">
        <v>13</v>
      </c>
      <c r="G24" s="5" t="s">
        <v>223</v>
      </c>
      <c r="H24" s="9">
        <f>CEILING(337*USD,10)</f>
        <v>25700</v>
      </c>
      <c r="I24" s="8"/>
      <c r="J24" s="9"/>
    </row>
    <row r="25" spans="1:10" ht="30" customHeight="1" x14ac:dyDescent="0.3">
      <c r="A25" s="147"/>
      <c r="B25" s="28" t="s">
        <v>226</v>
      </c>
      <c r="C25" s="21" t="s">
        <v>221</v>
      </c>
      <c r="D25" s="21" t="s">
        <v>51</v>
      </c>
      <c r="E25" s="21" t="s">
        <v>188</v>
      </c>
      <c r="F25" s="21" t="s">
        <v>13</v>
      </c>
      <c r="G25" s="5" t="s">
        <v>223</v>
      </c>
      <c r="H25" s="9">
        <f>CEILING(337*USD,10)</f>
        <v>25700</v>
      </c>
      <c r="I25" s="8"/>
      <c r="J25" s="9"/>
    </row>
    <row r="26" spans="1:10" ht="30" customHeight="1" x14ac:dyDescent="0.3">
      <c r="A26" s="147"/>
      <c r="B26" s="28" t="s">
        <v>227</v>
      </c>
      <c r="C26" s="21" t="s">
        <v>63</v>
      </c>
      <c r="D26" s="21" t="s">
        <v>196</v>
      </c>
      <c r="E26" s="21" t="s">
        <v>188</v>
      </c>
      <c r="F26" s="21" t="s">
        <v>13</v>
      </c>
      <c r="G26" s="5" t="s">
        <v>223</v>
      </c>
      <c r="H26" s="9">
        <f>CEILING(337*USD,10)</f>
        <v>25700</v>
      </c>
      <c r="I26" s="8"/>
      <c r="J26" s="9"/>
    </row>
    <row r="27" spans="1:10" ht="30" customHeight="1" x14ac:dyDescent="0.3">
      <c r="A27" s="147"/>
      <c r="B27" s="28" t="s">
        <v>228</v>
      </c>
      <c r="C27" s="21" t="s">
        <v>177</v>
      </c>
      <c r="D27" s="21" t="s">
        <v>180</v>
      </c>
      <c r="E27" s="21" t="s">
        <v>188</v>
      </c>
      <c r="F27" s="21" t="s">
        <v>13</v>
      </c>
      <c r="G27" s="5" t="s">
        <v>223</v>
      </c>
      <c r="H27" s="9">
        <f>CEILING(337*USD,10)</f>
        <v>25700</v>
      </c>
      <c r="I27" s="8"/>
      <c r="J27" s="9"/>
    </row>
  </sheetData>
  <mergeCells count="13">
    <mergeCell ref="A1:J1"/>
    <mergeCell ref="A3:A8"/>
    <mergeCell ref="A9:J9"/>
    <mergeCell ref="A10:G10"/>
    <mergeCell ref="A11:G11"/>
    <mergeCell ref="A24:A27"/>
    <mergeCell ref="A21:J21"/>
    <mergeCell ref="A20:G20"/>
    <mergeCell ref="A12:J12"/>
    <mergeCell ref="A13:J13"/>
    <mergeCell ref="A15:A18"/>
    <mergeCell ref="A19:J19"/>
    <mergeCell ref="A22:J22"/>
  </mergeCells>
  <hyperlinks>
    <hyperlink ref="B3" r:id="rId1"/>
    <hyperlink ref="B7" r:id="rId2"/>
    <hyperlink ref="B4" r:id="rId3"/>
    <hyperlink ref="B5" r:id="rId4"/>
    <hyperlink ref="B6" r:id="rId5"/>
    <hyperlink ref="B8" r:id="rId6"/>
    <hyperlink ref="B15" r:id="rId7"/>
    <hyperlink ref="B16" r:id="rId8"/>
    <hyperlink ref="B17" r:id="rId9"/>
    <hyperlink ref="B18" r:id="rId10"/>
  </hyperlinks>
  <pageMargins left="0.7" right="0.7" top="0.75" bottom="0.75" header="0.3" footer="0.3"/>
  <pageSetup paperSize="9" orientation="portrait" r:id="rId11"/>
  <ignoredErrors>
    <ignoredError sqref="H7" formula="1"/>
  </ignoredErrors>
  <drawing r:id="rId1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zoomScale="90" zoomScaleNormal="90" workbookViewId="0">
      <selection activeCell="I2" sqref="I2:J4"/>
    </sheetView>
  </sheetViews>
  <sheetFormatPr defaultColWidth="9.109375" defaultRowHeight="13.8" x14ac:dyDescent="0.3"/>
  <cols>
    <col min="1" max="1" width="23.33203125" style="1" customWidth="1"/>
    <col min="2" max="2" width="21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7.88671875" style="1" hidden="1" customWidth="1"/>
    <col min="13" max="13" width="0" style="1" hidden="1" customWidth="1"/>
    <col min="14" max="16384" width="9.109375" style="1"/>
  </cols>
  <sheetData>
    <row r="1" spans="1:13" ht="60" customHeight="1" x14ac:dyDescent="0.3">
      <c r="A1" s="139" t="s">
        <v>1482</v>
      </c>
      <c r="B1" s="140"/>
      <c r="C1" s="140"/>
      <c r="D1" s="140"/>
      <c r="E1" s="140"/>
      <c r="F1" s="140"/>
      <c r="G1" s="140"/>
      <c r="H1" s="140"/>
      <c r="I1" s="140"/>
      <c r="J1" s="140"/>
      <c r="L1" s="2"/>
      <c r="M1" s="2"/>
    </row>
    <row r="2" spans="1:13" ht="30" customHeight="1" x14ac:dyDescent="0.3">
      <c r="A2" s="39"/>
      <c r="B2" s="38" t="s">
        <v>2</v>
      </c>
      <c r="C2" s="4" t="s">
        <v>42</v>
      </c>
      <c r="D2" s="4" t="s">
        <v>43</v>
      </c>
      <c r="E2" s="38" t="s">
        <v>9</v>
      </c>
      <c r="F2" s="38" t="s">
        <v>10</v>
      </c>
      <c r="G2" s="4" t="s">
        <v>11</v>
      </c>
      <c r="H2" s="4" t="s">
        <v>17</v>
      </c>
      <c r="I2" s="4"/>
      <c r="J2" s="4"/>
      <c r="L2" s="2"/>
      <c r="M2" s="2"/>
    </row>
    <row r="3" spans="1:13" ht="120" customHeight="1" x14ac:dyDescent="0.3">
      <c r="A3" s="29"/>
      <c r="B3" s="6" t="s">
        <v>880</v>
      </c>
      <c r="C3" s="39" t="s">
        <v>592</v>
      </c>
      <c r="D3" s="39" t="s">
        <v>882</v>
      </c>
      <c r="E3" s="39" t="s">
        <v>950</v>
      </c>
      <c r="F3" s="39" t="s">
        <v>13</v>
      </c>
      <c r="G3" s="39" t="s">
        <v>16</v>
      </c>
      <c r="H3" s="7">
        <v>209000</v>
      </c>
      <c r="I3" s="8"/>
      <c r="J3" s="9"/>
      <c r="L3" s="12" t="s">
        <v>1724</v>
      </c>
      <c r="M3" s="2"/>
    </row>
    <row r="4" spans="1:13" ht="120" customHeight="1" x14ac:dyDescent="0.3">
      <c r="A4" s="29"/>
      <c r="B4" s="65" t="s">
        <v>881</v>
      </c>
      <c r="C4" s="66" t="s">
        <v>189</v>
      </c>
      <c r="D4" s="66" t="s">
        <v>882</v>
      </c>
      <c r="E4" s="66" t="s">
        <v>950</v>
      </c>
      <c r="F4" s="66" t="s">
        <v>13</v>
      </c>
      <c r="G4" s="66" t="s">
        <v>16</v>
      </c>
      <c r="H4" s="67">
        <v>300000</v>
      </c>
      <c r="I4" s="68"/>
      <c r="J4" s="69"/>
      <c r="L4" s="2"/>
      <c r="M4" s="2"/>
    </row>
  </sheetData>
  <mergeCells count="1">
    <mergeCell ref="A1:J1"/>
  </mergeCells>
  <hyperlinks>
    <hyperlink ref="B3" r:id="rId1"/>
    <hyperlink ref="B4" r:id="rId2"/>
  </hyperlinks>
  <pageMargins left="0.7" right="0.7" top="0.75" bottom="0.75" header="0.3" footer="0.3"/>
  <pageSetup paperSize="9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opLeftCell="A94" zoomScale="90" zoomScaleNormal="90" workbookViewId="0">
      <selection activeCell="I90" sqref="I90:J96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3" width="20.6640625" style="1" customWidth="1"/>
    <col min="4" max="4" width="15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0" style="89" hidden="1" customWidth="1"/>
    <col min="13" max="13" width="0" style="12" hidden="1" customWidth="1"/>
    <col min="14" max="16384" width="9.109375" style="1"/>
  </cols>
  <sheetData>
    <row r="1" spans="1:10" ht="39.9" customHeight="1" x14ac:dyDescent="0.3">
      <c r="A1" s="139" t="s">
        <v>1928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30" customHeight="1" x14ac:dyDescent="0.3">
      <c r="A2" s="70"/>
      <c r="B2" s="38" t="s">
        <v>2</v>
      </c>
      <c r="C2" s="4" t="s">
        <v>42</v>
      </c>
      <c r="D2" s="4" t="s">
        <v>43</v>
      </c>
      <c r="E2" s="38" t="s">
        <v>9</v>
      </c>
      <c r="F2" s="38" t="s">
        <v>10</v>
      </c>
      <c r="G2" s="4" t="s">
        <v>11</v>
      </c>
      <c r="H2" s="4" t="s">
        <v>17</v>
      </c>
      <c r="I2" s="4"/>
      <c r="J2" s="4"/>
    </row>
    <row r="3" spans="1:10" ht="24.9" customHeight="1" x14ac:dyDescent="0.3">
      <c r="A3" s="147"/>
      <c r="B3" s="72" t="s">
        <v>1252</v>
      </c>
      <c r="C3" s="70" t="s">
        <v>220</v>
      </c>
      <c r="D3" s="70" t="s">
        <v>51</v>
      </c>
      <c r="E3" s="70" t="s">
        <v>224</v>
      </c>
      <c r="F3" s="70" t="s">
        <v>13</v>
      </c>
      <c r="G3" s="70" t="s">
        <v>1236</v>
      </c>
      <c r="H3" s="9">
        <v>5940</v>
      </c>
      <c r="I3" s="8"/>
      <c r="J3" s="9"/>
    </row>
    <row r="4" spans="1:10" ht="24.9" customHeight="1" x14ac:dyDescent="0.3">
      <c r="A4" s="147"/>
      <c r="B4" s="72" t="s">
        <v>1234</v>
      </c>
      <c r="C4" s="70" t="s">
        <v>221</v>
      </c>
      <c r="D4" s="70" t="s">
        <v>196</v>
      </c>
      <c r="E4" s="70" t="s">
        <v>224</v>
      </c>
      <c r="F4" s="70" t="s">
        <v>13</v>
      </c>
      <c r="G4" s="70" t="s">
        <v>1236</v>
      </c>
      <c r="H4" s="9">
        <v>5940</v>
      </c>
      <c r="I4" s="8"/>
      <c r="J4" s="9"/>
    </row>
    <row r="5" spans="1:10" ht="24.9" customHeight="1" x14ac:dyDescent="0.3">
      <c r="A5" s="147"/>
      <c r="B5" s="72" t="s">
        <v>1235</v>
      </c>
      <c r="C5" s="118" t="s">
        <v>64</v>
      </c>
      <c r="D5" s="118" t="s">
        <v>180</v>
      </c>
      <c r="E5" s="118" t="s">
        <v>224</v>
      </c>
      <c r="F5" s="118" t="s">
        <v>13</v>
      </c>
      <c r="G5" s="118" t="s">
        <v>1236</v>
      </c>
      <c r="H5" s="9">
        <v>5940</v>
      </c>
      <c r="I5" s="8"/>
      <c r="J5" s="9"/>
    </row>
    <row r="6" spans="1:10" ht="24.9" customHeight="1" x14ac:dyDescent="0.3">
      <c r="A6" s="147"/>
      <c r="B6" s="72" t="s">
        <v>1766</v>
      </c>
      <c r="C6" s="118" t="s">
        <v>220</v>
      </c>
      <c r="D6" s="118" t="s">
        <v>51</v>
      </c>
      <c r="E6" s="118" t="s">
        <v>224</v>
      </c>
      <c r="F6" s="118" t="s">
        <v>13</v>
      </c>
      <c r="G6" s="118" t="s">
        <v>1236</v>
      </c>
      <c r="H6" s="9">
        <v>6540</v>
      </c>
      <c r="I6" s="8"/>
      <c r="J6" s="9"/>
    </row>
    <row r="7" spans="1:10" ht="24.9" customHeight="1" x14ac:dyDescent="0.3">
      <c r="A7" s="147"/>
      <c r="B7" s="72" t="s">
        <v>1767</v>
      </c>
      <c r="C7" s="118" t="s">
        <v>221</v>
      </c>
      <c r="D7" s="118" t="s">
        <v>196</v>
      </c>
      <c r="E7" s="118" t="s">
        <v>224</v>
      </c>
      <c r="F7" s="118" t="s">
        <v>13</v>
      </c>
      <c r="G7" s="118" t="s">
        <v>1236</v>
      </c>
      <c r="H7" s="9">
        <v>6540</v>
      </c>
      <c r="I7" s="8"/>
      <c r="J7" s="9"/>
    </row>
    <row r="8" spans="1:10" ht="24.9" customHeight="1" x14ac:dyDescent="0.3">
      <c r="A8" s="147"/>
      <c r="B8" s="72" t="s">
        <v>1768</v>
      </c>
      <c r="C8" s="118" t="s">
        <v>64</v>
      </c>
      <c r="D8" s="118" t="s">
        <v>180</v>
      </c>
      <c r="E8" s="118" t="s">
        <v>224</v>
      </c>
      <c r="F8" s="118" t="s">
        <v>13</v>
      </c>
      <c r="G8" s="118" t="s">
        <v>1236</v>
      </c>
      <c r="H8" s="9">
        <v>6540</v>
      </c>
      <c r="I8" s="8"/>
      <c r="J8" s="9"/>
    </row>
    <row r="9" spans="1:10" ht="20.100000000000001" customHeight="1" x14ac:dyDescent="0.3">
      <c r="A9" s="185"/>
      <c r="B9" s="185"/>
      <c r="C9" s="185"/>
      <c r="D9" s="185"/>
      <c r="E9" s="185"/>
      <c r="F9" s="185"/>
      <c r="G9" s="185"/>
      <c r="H9" s="185"/>
      <c r="I9" s="185"/>
      <c r="J9" s="185"/>
    </row>
    <row r="10" spans="1:10" ht="39.9" customHeight="1" x14ac:dyDescent="0.3">
      <c r="A10" s="139" t="s">
        <v>1246</v>
      </c>
      <c r="B10" s="140"/>
      <c r="C10" s="140"/>
      <c r="D10" s="140"/>
      <c r="E10" s="140"/>
      <c r="F10" s="140"/>
      <c r="G10" s="140"/>
      <c r="H10" s="140"/>
      <c r="I10" s="140"/>
      <c r="J10" s="140"/>
    </row>
    <row r="11" spans="1:10" ht="30" customHeight="1" x14ac:dyDescent="0.3">
      <c r="A11" s="70"/>
      <c r="B11" s="38" t="s">
        <v>2</v>
      </c>
      <c r="C11" s="4" t="s">
        <v>42</v>
      </c>
      <c r="D11" s="4" t="s">
        <v>43</v>
      </c>
      <c r="E11" s="38" t="s">
        <v>9</v>
      </c>
      <c r="F11" s="38" t="s">
        <v>10</v>
      </c>
      <c r="G11" s="4" t="s">
        <v>11</v>
      </c>
      <c r="H11" s="4" t="s">
        <v>17</v>
      </c>
      <c r="I11" s="4"/>
      <c r="J11" s="4"/>
    </row>
    <row r="12" spans="1:10" ht="39.9" customHeight="1" x14ac:dyDescent="0.3">
      <c r="A12" s="147"/>
      <c r="B12" s="6" t="s">
        <v>1792</v>
      </c>
      <c r="C12" s="70" t="s">
        <v>220</v>
      </c>
      <c r="D12" s="70" t="s">
        <v>51</v>
      </c>
      <c r="E12" s="70" t="s">
        <v>224</v>
      </c>
      <c r="F12" s="70" t="s">
        <v>13</v>
      </c>
      <c r="G12" s="70" t="s">
        <v>1236</v>
      </c>
      <c r="H12" s="9">
        <v>7500</v>
      </c>
      <c r="I12" s="8"/>
      <c r="J12" s="9"/>
    </row>
    <row r="13" spans="1:10" ht="39.9" customHeight="1" x14ac:dyDescent="0.3">
      <c r="A13" s="147"/>
      <c r="B13" s="6" t="s">
        <v>1793</v>
      </c>
      <c r="C13" s="70" t="s">
        <v>221</v>
      </c>
      <c r="D13" s="70" t="s">
        <v>196</v>
      </c>
      <c r="E13" s="70" t="s">
        <v>224</v>
      </c>
      <c r="F13" s="70" t="s">
        <v>13</v>
      </c>
      <c r="G13" s="70" t="s">
        <v>1236</v>
      </c>
      <c r="H13" s="9">
        <v>7500</v>
      </c>
      <c r="I13" s="8"/>
      <c r="J13" s="9"/>
    </row>
    <row r="14" spans="1:10" ht="39.9" customHeight="1" x14ac:dyDescent="0.3">
      <c r="A14" s="147"/>
      <c r="B14" s="6" t="s">
        <v>1794</v>
      </c>
      <c r="C14" s="70" t="s">
        <v>64</v>
      </c>
      <c r="D14" s="70" t="s">
        <v>180</v>
      </c>
      <c r="E14" s="70" t="s">
        <v>224</v>
      </c>
      <c r="F14" s="70" t="s">
        <v>13</v>
      </c>
      <c r="G14" s="70" t="s">
        <v>1236</v>
      </c>
      <c r="H14" s="9">
        <v>7500</v>
      </c>
      <c r="I14" s="8"/>
      <c r="J14" s="9"/>
    </row>
    <row r="15" spans="1:10" ht="20.100000000000001" customHeight="1" x14ac:dyDescent="0.3">
      <c r="A15" s="185"/>
      <c r="B15" s="185"/>
      <c r="C15" s="185"/>
      <c r="D15" s="185"/>
      <c r="E15" s="185"/>
      <c r="F15" s="185"/>
      <c r="G15" s="185"/>
      <c r="H15" s="185"/>
      <c r="I15" s="185"/>
      <c r="J15" s="185"/>
    </row>
    <row r="16" spans="1:10" ht="39.9" customHeight="1" x14ac:dyDescent="0.3">
      <c r="A16" s="139" t="s">
        <v>1245</v>
      </c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0" ht="30" customHeight="1" x14ac:dyDescent="0.3">
      <c r="A17" s="70"/>
      <c r="B17" s="38" t="s">
        <v>2</v>
      </c>
      <c r="C17" s="4" t="s">
        <v>42</v>
      </c>
      <c r="D17" s="4" t="s">
        <v>43</v>
      </c>
      <c r="E17" s="38" t="s">
        <v>9</v>
      </c>
      <c r="F17" s="38" t="s">
        <v>10</v>
      </c>
      <c r="G17" s="4" t="s">
        <v>11</v>
      </c>
      <c r="H17" s="4" t="s">
        <v>17</v>
      </c>
      <c r="I17" s="4"/>
      <c r="J17" s="4"/>
    </row>
    <row r="18" spans="1:10" ht="39.9" customHeight="1" x14ac:dyDescent="0.3">
      <c r="A18" s="147"/>
      <c r="B18" s="6" t="s">
        <v>1253</v>
      </c>
      <c r="C18" s="70" t="s">
        <v>220</v>
      </c>
      <c r="D18" s="70" t="s">
        <v>51</v>
      </c>
      <c r="E18" s="70" t="s">
        <v>224</v>
      </c>
      <c r="F18" s="70" t="s">
        <v>13</v>
      </c>
      <c r="G18" s="70" t="s">
        <v>1239</v>
      </c>
      <c r="H18" s="9">
        <v>7380</v>
      </c>
      <c r="I18" s="8"/>
      <c r="J18" s="9"/>
    </row>
    <row r="19" spans="1:10" ht="39.9" customHeight="1" x14ac:dyDescent="0.3">
      <c r="A19" s="147"/>
      <c r="B19" s="6" t="s">
        <v>1237</v>
      </c>
      <c r="C19" s="70" t="s">
        <v>221</v>
      </c>
      <c r="D19" s="70" t="s">
        <v>196</v>
      </c>
      <c r="E19" s="70" t="s">
        <v>224</v>
      </c>
      <c r="F19" s="70" t="s">
        <v>13</v>
      </c>
      <c r="G19" s="70" t="s">
        <v>1239</v>
      </c>
      <c r="H19" s="9">
        <v>7380</v>
      </c>
      <c r="I19" s="8"/>
      <c r="J19" s="9"/>
    </row>
    <row r="20" spans="1:10" ht="39.9" customHeight="1" x14ac:dyDescent="0.3">
      <c r="A20" s="147"/>
      <c r="B20" s="6" t="s">
        <v>1238</v>
      </c>
      <c r="C20" s="70" t="s">
        <v>64</v>
      </c>
      <c r="D20" s="70" t="s">
        <v>180</v>
      </c>
      <c r="E20" s="70" t="s">
        <v>224</v>
      </c>
      <c r="F20" s="70" t="s">
        <v>13</v>
      </c>
      <c r="G20" s="70" t="s">
        <v>1239</v>
      </c>
      <c r="H20" s="9">
        <v>7380</v>
      </c>
      <c r="I20" s="8"/>
      <c r="J20" s="9"/>
    </row>
    <row r="21" spans="1:10" ht="20.100000000000001" customHeight="1" x14ac:dyDescent="0.3">
      <c r="A21" s="185"/>
      <c r="B21" s="185"/>
      <c r="C21" s="185"/>
      <c r="D21" s="185"/>
      <c r="E21" s="185"/>
      <c r="F21" s="185"/>
      <c r="G21" s="185"/>
      <c r="H21" s="185"/>
      <c r="I21" s="185"/>
      <c r="J21" s="185"/>
    </row>
    <row r="22" spans="1:10" ht="39.9" customHeight="1" x14ac:dyDescent="0.3">
      <c r="A22" s="139" t="s">
        <v>1244</v>
      </c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ht="30" customHeight="1" x14ac:dyDescent="0.3">
      <c r="A23" s="70"/>
      <c r="B23" s="38" t="s">
        <v>2</v>
      </c>
      <c r="C23" s="4" t="s">
        <v>42</v>
      </c>
      <c r="D23" s="4" t="s">
        <v>43</v>
      </c>
      <c r="E23" s="38" t="s">
        <v>9</v>
      </c>
      <c r="F23" s="38" t="s">
        <v>10</v>
      </c>
      <c r="G23" s="4" t="s">
        <v>11</v>
      </c>
      <c r="H23" s="4" t="s">
        <v>17</v>
      </c>
      <c r="I23" s="4"/>
      <c r="J23" s="4"/>
    </row>
    <row r="24" spans="1:10" ht="30" customHeight="1" x14ac:dyDescent="0.3">
      <c r="A24" s="147"/>
      <c r="B24" s="6" t="s">
        <v>1254</v>
      </c>
      <c r="C24" s="70" t="s">
        <v>500</v>
      </c>
      <c r="D24" s="70" t="s">
        <v>51</v>
      </c>
      <c r="E24" s="70" t="s">
        <v>224</v>
      </c>
      <c r="F24" s="70" t="s">
        <v>13</v>
      </c>
      <c r="G24" s="70" t="s">
        <v>1242</v>
      </c>
      <c r="H24" s="9">
        <v>10980</v>
      </c>
      <c r="I24" s="8"/>
      <c r="J24" s="9"/>
    </row>
    <row r="25" spans="1:10" ht="30" customHeight="1" x14ac:dyDescent="0.3">
      <c r="A25" s="147"/>
      <c r="B25" s="6" t="s">
        <v>1255</v>
      </c>
      <c r="C25" s="70" t="s">
        <v>523</v>
      </c>
      <c r="D25" s="70" t="s">
        <v>196</v>
      </c>
      <c r="E25" s="70" t="s">
        <v>224</v>
      </c>
      <c r="F25" s="70" t="s">
        <v>13</v>
      </c>
      <c r="G25" s="70" t="s">
        <v>1242</v>
      </c>
      <c r="H25" s="9">
        <v>10980</v>
      </c>
      <c r="I25" s="8"/>
      <c r="J25" s="9"/>
    </row>
    <row r="26" spans="1:10" ht="30" customHeight="1" x14ac:dyDescent="0.3">
      <c r="A26" s="147"/>
      <c r="B26" s="6" t="s">
        <v>1240</v>
      </c>
      <c r="C26" s="70" t="s">
        <v>62</v>
      </c>
      <c r="D26" s="70" t="s">
        <v>180</v>
      </c>
      <c r="E26" s="70" t="s">
        <v>224</v>
      </c>
      <c r="F26" s="70" t="s">
        <v>13</v>
      </c>
      <c r="G26" s="70" t="s">
        <v>1242</v>
      </c>
      <c r="H26" s="9">
        <v>10980</v>
      </c>
      <c r="I26" s="8"/>
      <c r="J26" s="9"/>
    </row>
    <row r="27" spans="1:10" ht="30" customHeight="1" x14ac:dyDescent="0.3">
      <c r="A27" s="147"/>
      <c r="B27" s="6" t="s">
        <v>1241</v>
      </c>
      <c r="C27" s="70" t="s">
        <v>177</v>
      </c>
      <c r="D27" s="70" t="s">
        <v>485</v>
      </c>
      <c r="E27" s="70" t="s">
        <v>224</v>
      </c>
      <c r="F27" s="70" t="s">
        <v>13</v>
      </c>
      <c r="G27" s="70" t="s">
        <v>1242</v>
      </c>
      <c r="H27" s="9">
        <v>10980</v>
      </c>
      <c r="I27" s="8"/>
      <c r="J27" s="9"/>
    </row>
    <row r="28" spans="1:10" ht="20.100000000000001" customHeight="1" x14ac:dyDescent="0.3">
      <c r="A28" s="185"/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39.9" customHeight="1" x14ac:dyDescent="0.3">
      <c r="A29" s="139" t="s">
        <v>1243</v>
      </c>
      <c r="B29" s="140"/>
      <c r="C29" s="140"/>
      <c r="D29" s="140"/>
      <c r="E29" s="140"/>
      <c r="F29" s="140"/>
      <c r="G29" s="140"/>
      <c r="H29" s="140"/>
      <c r="I29" s="140"/>
      <c r="J29" s="140"/>
    </row>
    <row r="30" spans="1:10" ht="30" customHeight="1" x14ac:dyDescent="0.3">
      <c r="A30" s="70"/>
      <c r="B30" s="38" t="s">
        <v>2</v>
      </c>
      <c r="C30" s="4" t="s">
        <v>42</v>
      </c>
      <c r="D30" s="4" t="s">
        <v>43</v>
      </c>
      <c r="E30" s="38" t="s">
        <v>9</v>
      </c>
      <c r="F30" s="38" t="s">
        <v>10</v>
      </c>
      <c r="G30" s="4" t="s">
        <v>11</v>
      </c>
      <c r="H30" s="4" t="s">
        <v>17</v>
      </c>
      <c r="I30" s="4"/>
      <c r="J30" s="4"/>
    </row>
    <row r="31" spans="1:10" ht="30" customHeight="1" x14ac:dyDescent="0.3">
      <c r="A31" s="147"/>
      <c r="B31" s="6" t="s">
        <v>1256</v>
      </c>
      <c r="C31" s="70" t="s">
        <v>500</v>
      </c>
      <c r="D31" s="70" t="s">
        <v>51</v>
      </c>
      <c r="E31" s="70" t="s">
        <v>224</v>
      </c>
      <c r="F31" s="70" t="s">
        <v>13</v>
      </c>
      <c r="G31" s="70" t="s">
        <v>1242</v>
      </c>
      <c r="H31" s="9">
        <v>12060</v>
      </c>
      <c r="I31" s="8"/>
      <c r="J31" s="9"/>
    </row>
    <row r="32" spans="1:10" ht="30" customHeight="1" x14ac:dyDescent="0.3">
      <c r="A32" s="147"/>
      <c r="B32" s="6" t="s">
        <v>1257</v>
      </c>
      <c r="C32" s="70" t="s">
        <v>523</v>
      </c>
      <c r="D32" s="70" t="s">
        <v>196</v>
      </c>
      <c r="E32" s="70" t="s">
        <v>224</v>
      </c>
      <c r="F32" s="70" t="s">
        <v>13</v>
      </c>
      <c r="G32" s="70" t="s">
        <v>1242</v>
      </c>
      <c r="H32" s="9">
        <v>12060</v>
      </c>
      <c r="I32" s="8"/>
      <c r="J32" s="9"/>
    </row>
    <row r="33" spans="1:10" ht="30" customHeight="1" x14ac:dyDescent="0.3">
      <c r="A33" s="147"/>
      <c r="B33" s="6" t="s">
        <v>1247</v>
      </c>
      <c r="C33" s="70" t="s">
        <v>62</v>
      </c>
      <c r="D33" s="70" t="s">
        <v>180</v>
      </c>
      <c r="E33" s="70" t="s">
        <v>224</v>
      </c>
      <c r="F33" s="70" t="s">
        <v>13</v>
      </c>
      <c r="G33" s="70" t="s">
        <v>1242</v>
      </c>
      <c r="H33" s="9">
        <v>12060</v>
      </c>
      <c r="I33" s="8"/>
      <c r="J33" s="9"/>
    </row>
    <row r="34" spans="1:10" ht="30" customHeight="1" x14ac:dyDescent="0.3">
      <c r="A34" s="147"/>
      <c r="B34" s="6" t="s">
        <v>1248</v>
      </c>
      <c r="C34" s="70" t="s">
        <v>177</v>
      </c>
      <c r="D34" s="70" t="s">
        <v>485</v>
      </c>
      <c r="E34" s="70" t="s">
        <v>224</v>
      </c>
      <c r="F34" s="70" t="s">
        <v>13</v>
      </c>
      <c r="G34" s="70" t="s">
        <v>1242</v>
      </c>
      <c r="H34" s="9">
        <v>12060</v>
      </c>
      <c r="I34" s="8"/>
      <c r="J34" s="9"/>
    </row>
    <row r="35" spans="1:10" ht="20.100000000000001" customHeight="1" x14ac:dyDescent="0.3">
      <c r="A35" s="185"/>
      <c r="B35" s="185"/>
      <c r="C35" s="185"/>
      <c r="D35" s="185"/>
      <c r="E35" s="185"/>
      <c r="F35" s="185"/>
      <c r="G35" s="185"/>
      <c r="H35" s="185"/>
      <c r="I35" s="185"/>
      <c r="J35" s="185"/>
    </row>
    <row r="36" spans="1:10" ht="39.9" customHeight="1" x14ac:dyDescent="0.3">
      <c r="A36" s="139" t="s">
        <v>1581</v>
      </c>
      <c r="B36" s="140"/>
      <c r="C36" s="140"/>
      <c r="D36" s="140"/>
      <c r="E36" s="140"/>
      <c r="F36" s="140"/>
      <c r="G36" s="140"/>
      <c r="H36" s="140"/>
      <c r="I36" s="140"/>
      <c r="J36" s="140"/>
    </row>
    <row r="37" spans="1:10" ht="30" customHeight="1" x14ac:dyDescent="0.3">
      <c r="A37" s="104"/>
      <c r="B37" s="38" t="s">
        <v>2</v>
      </c>
      <c r="C37" s="4" t="s">
        <v>42</v>
      </c>
      <c r="D37" s="4" t="s">
        <v>43</v>
      </c>
      <c r="E37" s="38" t="s">
        <v>9</v>
      </c>
      <c r="F37" s="38" t="s">
        <v>10</v>
      </c>
      <c r="G37" s="4" t="s">
        <v>11</v>
      </c>
      <c r="H37" s="4" t="s">
        <v>17</v>
      </c>
      <c r="I37" s="4"/>
      <c r="J37" s="4"/>
    </row>
    <row r="38" spans="1:10" ht="35.1" customHeight="1" x14ac:dyDescent="0.3">
      <c r="A38" s="147"/>
      <c r="B38" s="38" t="s">
        <v>1582</v>
      </c>
      <c r="C38" s="104" t="s">
        <v>500</v>
      </c>
      <c r="D38" s="104" t="s">
        <v>51</v>
      </c>
      <c r="E38" s="104" t="s">
        <v>224</v>
      </c>
      <c r="F38" s="104" t="s">
        <v>13</v>
      </c>
      <c r="G38" s="104" t="s">
        <v>1586</v>
      </c>
      <c r="H38" s="9">
        <v>13140</v>
      </c>
      <c r="I38" s="8"/>
      <c r="J38" s="9"/>
    </row>
    <row r="39" spans="1:10" ht="35.1" customHeight="1" x14ac:dyDescent="0.3">
      <c r="A39" s="147"/>
      <c r="B39" s="38" t="s">
        <v>1583</v>
      </c>
      <c r="C39" s="104" t="s">
        <v>523</v>
      </c>
      <c r="D39" s="104" t="s">
        <v>196</v>
      </c>
      <c r="E39" s="104" t="s">
        <v>224</v>
      </c>
      <c r="F39" s="104" t="s">
        <v>13</v>
      </c>
      <c r="G39" s="104" t="s">
        <v>1586</v>
      </c>
      <c r="H39" s="9">
        <v>13140</v>
      </c>
      <c r="I39" s="8"/>
      <c r="J39" s="9"/>
    </row>
    <row r="40" spans="1:10" ht="35.1" customHeight="1" x14ac:dyDescent="0.3">
      <c r="A40" s="147"/>
      <c r="B40" s="38" t="s">
        <v>1584</v>
      </c>
      <c r="C40" s="104" t="s">
        <v>62</v>
      </c>
      <c r="D40" s="104" t="s">
        <v>180</v>
      </c>
      <c r="E40" s="104" t="s">
        <v>224</v>
      </c>
      <c r="F40" s="104" t="s">
        <v>13</v>
      </c>
      <c r="G40" s="104" t="s">
        <v>1586</v>
      </c>
      <c r="H40" s="9">
        <v>13140</v>
      </c>
      <c r="I40" s="8"/>
      <c r="J40" s="9"/>
    </row>
    <row r="41" spans="1:10" ht="35.1" customHeight="1" x14ac:dyDescent="0.3">
      <c r="A41" s="147"/>
      <c r="B41" s="38" t="s">
        <v>1585</v>
      </c>
      <c r="C41" s="104" t="s">
        <v>177</v>
      </c>
      <c r="D41" s="104" t="s">
        <v>485</v>
      </c>
      <c r="E41" s="104" t="s">
        <v>224</v>
      </c>
      <c r="F41" s="104" t="s">
        <v>13</v>
      </c>
      <c r="G41" s="104" t="s">
        <v>1586</v>
      </c>
      <c r="H41" s="9">
        <v>13140</v>
      </c>
      <c r="I41" s="8"/>
      <c r="J41" s="9"/>
    </row>
    <row r="42" spans="1:10" ht="20.100000000000001" customHeight="1" x14ac:dyDescent="0.3">
      <c r="A42" s="185"/>
      <c r="B42" s="185"/>
      <c r="C42" s="185"/>
      <c r="D42" s="185"/>
      <c r="E42" s="185"/>
      <c r="F42" s="185"/>
      <c r="G42" s="185"/>
      <c r="H42" s="185"/>
      <c r="I42" s="185"/>
      <c r="J42" s="185"/>
    </row>
    <row r="43" spans="1:10" ht="39.9" customHeight="1" x14ac:dyDescent="0.3">
      <c r="A43" s="139" t="s">
        <v>1249</v>
      </c>
      <c r="B43" s="140"/>
      <c r="C43" s="140"/>
      <c r="D43" s="140"/>
      <c r="E43" s="140"/>
      <c r="F43" s="140"/>
      <c r="G43" s="140"/>
      <c r="H43" s="140"/>
      <c r="I43" s="140"/>
      <c r="J43" s="140"/>
    </row>
    <row r="44" spans="1:10" ht="30" customHeight="1" x14ac:dyDescent="0.3">
      <c r="A44" s="70"/>
      <c r="B44" s="38" t="s">
        <v>2</v>
      </c>
      <c r="C44" s="4" t="s">
        <v>42</v>
      </c>
      <c r="D44" s="4" t="s">
        <v>43</v>
      </c>
      <c r="E44" s="38" t="s">
        <v>9</v>
      </c>
      <c r="F44" s="38" t="s">
        <v>10</v>
      </c>
      <c r="G44" s="4" t="s">
        <v>11</v>
      </c>
      <c r="H44" s="4" t="s">
        <v>17</v>
      </c>
      <c r="I44" s="4"/>
      <c r="J44" s="4"/>
    </row>
    <row r="45" spans="1:10" ht="39.9" customHeight="1" x14ac:dyDescent="0.3">
      <c r="A45" s="147"/>
      <c r="B45" s="6" t="s">
        <v>1258</v>
      </c>
      <c r="C45" s="70" t="s">
        <v>220</v>
      </c>
      <c r="D45" s="70" t="s">
        <v>1259</v>
      </c>
      <c r="E45" s="70" t="s">
        <v>224</v>
      </c>
      <c r="F45" s="70" t="s">
        <v>13</v>
      </c>
      <c r="G45" s="70" t="s">
        <v>1239</v>
      </c>
      <c r="H45" s="9">
        <v>8460</v>
      </c>
      <c r="I45" s="8"/>
      <c r="J45" s="9"/>
    </row>
    <row r="46" spans="1:10" ht="39.9" customHeight="1" x14ac:dyDescent="0.3">
      <c r="A46" s="147"/>
      <c r="B46" s="6" t="s">
        <v>1250</v>
      </c>
      <c r="C46" s="70" t="s">
        <v>221</v>
      </c>
      <c r="D46" s="70" t="s">
        <v>1260</v>
      </c>
      <c r="E46" s="70" t="s">
        <v>224</v>
      </c>
      <c r="F46" s="70" t="s">
        <v>13</v>
      </c>
      <c r="G46" s="70" t="s">
        <v>1239</v>
      </c>
      <c r="H46" s="9">
        <v>8460</v>
      </c>
      <c r="I46" s="8"/>
      <c r="J46" s="9"/>
    </row>
    <row r="47" spans="1:10" ht="39.9" customHeight="1" x14ac:dyDescent="0.3">
      <c r="A47" s="147"/>
      <c r="B47" s="6" t="s">
        <v>1251</v>
      </c>
      <c r="C47" s="70" t="s">
        <v>64</v>
      </c>
      <c r="D47" s="70" t="s">
        <v>1261</v>
      </c>
      <c r="E47" s="70" t="s">
        <v>224</v>
      </c>
      <c r="F47" s="70" t="s">
        <v>13</v>
      </c>
      <c r="G47" s="70" t="s">
        <v>1239</v>
      </c>
      <c r="H47" s="9">
        <v>8460</v>
      </c>
      <c r="I47" s="8"/>
      <c r="J47" s="9"/>
    </row>
    <row r="48" spans="1:10" ht="20.100000000000001" customHeight="1" x14ac:dyDescent="0.3">
      <c r="A48" s="185"/>
      <c r="B48" s="185"/>
      <c r="C48" s="185"/>
      <c r="D48" s="185"/>
      <c r="E48" s="185"/>
      <c r="F48" s="185"/>
      <c r="G48" s="185"/>
      <c r="H48" s="185"/>
      <c r="I48" s="185"/>
      <c r="J48" s="185"/>
    </row>
    <row r="49" spans="1:13" ht="39.9" customHeight="1" x14ac:dyDescent="0.3">
      <c r="A49" s="139" t="s">
        <v>1262</v>
      </c>
      <c r="B49" s="140"/>
      <c r="C49" s="140"/>
      <c r="D49" s="140"/>
      <c r="E49" s="140"/>
      <c r="F49" s="140"/>
      <c r="G49" s="140"/>
      <c r="H49" s="140"/>
      <c r="I49" s="140"/>
      <c r="J49" s="140"/>
    </row>
    <row r="50" spans="1:13" ht="30" customHeight="1" x14ac:dyDescent="0.3">
      <c r="A50" s="70"/>
      <c r="B50" s="38" t="s">
        <v>2</v>
      </c>
      <c r="C50" s="4" t="s">
        <v>42</v>
      </c>
      <c r="D50" s="4" t="s">
        <v>43</v>
      </c>
      <c r="E50" s="38" t="s">
        <v>9</v>
      </c>
      <c r="F50" s="38" t="s">
        <v>10</v>
      </c>
      <c r="G50" s="4" t="s">
        <v>11</v>
      </c>
      <c r="H50" s="4" t="s">
        <v>17</v>
      </c>
      <c r="I50" s="4"/>
      <c r="J50" s="4"/>
    </row>
    <row r="51" spans="1:13" ht="39.9" customHeight="1" x14ac:dyDescent="0.3">
      <c r="A51" s="147"/>
      <c r="B51" s="6" t="s">
        <v>1263</v>
      </c>
      <c r="C51" s="70" t="s">
        <v>523</v>
      </c>
      <c r="D51" s="70" t="s">
        <v>1259</v>
      </c>
      <c r="E51" s="70" t="s">
        <v>224</v>
      </c>
      <c r="F51" s="70" t="s">
        <v>13</v>
      </c>
      <c r="G51" s="70" t="s">
        <v>1239</v>
      </c>
      <c r="H51" s="9">
        <v>8100</v>
      </c>
      <c r="I51" s="8"/>
      <c r="J51" s="9"/>
    </row>
    <row r="52" spans="1:13" ht="39.9" customHeight="1" x14ac:dyDescent="0.3">
      <c r="A52" s="147"/>
      <c r="B52" s="6" t="s">
        <v>1264</v>
      </c>
      <c r="C52" s="70" t="s">
        <v>62</v>
      </c>
      <c r="D52" s="70" t="s">
        <v>1260</v>
      </c>
      <c r="E52" s="70" t="s">
        <v>224</v>
      </c>
      <c r="F52" s="70" t="s">
        <v>13</v>
      </c>
      <c r="G52" s="70" t="s">
        <v>1239</v>
      </c>
      <c r="H52" s="9">
        <v>8100</v>
      </c>
      <c r="I52" s="8"/>
      <c r="J52" s="9"/>
    </row>
    <row r="53" spans="1:13" ht="39.9" customHeight="1" x14ac:dyDescent="0.3">
      <c r="A53" s="147"/>
      <c r="B53" s="6" t="s">
        <v>1265</v>
      </c>
      <c r="C53" s="70" t="s">
        <v>177</v>
      </c>
      <c r="D53" s="70" t="s">
        <v>1261</v>
      </c>
      <c r="E53" s="70" t="s">
        <v>224</v>
      </c>
      <c r="F53" s="70" t="s">
        <v>13</v>
      </c>
      <c r="G53" s="70" t="s">
        <v>1239</v>
      </c>
      <c r="H53" s="9">
        <v>8100</v>
      </c>
      <c r="I53" s="8"/>
      <c r="J53" s="9"/>
    </row>
    <row r="54" spans="1:13" ht="20.100000000000001" customHeight="1" x14ac:dyDescent="0.3">
      <c r="A54" s="185"/>
      <c r="B54" s="185"/>
      <c r="C54" s="185"/>
      <c r="D54" s="185"/>
      <c r="E54" s="185"/>
      <c r="F54" s="185"/>
      <c r="G54" s="185"/>
      <c r="H54" s="185"/>
      <c r="I54" s="185"/>
      <c r="J54" s="185"/>
    </row>
    <row r="55" spans="1:13" ht="39.9" customHeight="1" x14ac:dyDescent="0.3">
      <c r="A55" s="139" t="s">
        <v>1266</v>
      </c>
      <c r="B55" s="140"/>
      <c r="C55" s="140"/>
      <c r="D55" s="140"/>
      <c r="E55" s="140"/>
      <c r="F55" s="140"/>
      <c r="G55" s="140"/>
      <c r="H55" s="140"/>
      <c r="I55" s="140"/>
      <c r="J55" s="140"/>
    </row>
    <row r="56" spans="1:13" ht="30" customHeight="1" x14ac:dyDescent="0.3">
      <c r="A56" s="70"/>
      <c r="B56" s="38" t="s">
        <v>2</v>
      </c>
      <c r="C56" s="4" t="s">
        <v>42</v>
      </c>
      <c r="D56" s="4" t="s">
        <v>43</v>
      </c>
      <c r="E56" s="38" t="s">
        <v>9</v>
      </c>
      <c r="F56" s="38" t="s">
        <v>10</v>
      </c>
      <c r="G56" s="4" t="s">
        <v>11</v>
      </c>
      <c r="H56" s="4" t="s">
        <v>17</v>
      </c>
      <c r="I56" s="4"/>
      <c r="J56" s="4"/>
    </row>
    <row r="57" spans="1:13" ht="39.9" customHeight="1" x14ac:dyDescent="0.3">
      <c r="A57" s="147"/>
      <c r="B57" s="6" t="s">
        <v>1267</v>
      </c>
      <c r="C57" s="70" t="s">
        <v>523</v>
      </c>
      <c r="D57" s="70" t="s">
        <v>1259</v>
      </c>
      <c r="E57" s="70" t="s">
        <v>224</v>
      </c>
      <c r="F57" s="70" t="s">
        <v>13</v>
      </c>
      <c r="G57" s="70" t="s">
        <v>1239</v>
      </c>
      <c r="H57" s="9">
        <v>8760</v>
      </c>
      <c r="I57" s="8"/>
      <c r="J57" s="9"/>
    </row>
    <row r="58" spans="1:13" ht="39.9" customHeight="1" x14ac:dyDescent="0.3">
      <c r="A58" s="147"/>
      <c r="B58" s="6" t="s">
        <v>1268</v>
      </c>
      <c r="C58" s="70" t="s">
        <v>62</v>
      </c>
      <c r="D58" s="70" t="s">
        <v>1260</v>
      </c>
      <c r="E58" s="70" t="s">
        <v>224</v>
      </c>
      <c r="F58" s="70" t="s">
        <v>13</v>
      </c>
      <c r="G58" s="70" t="s">
        <v>1239</v>
      </c>
      <c r="H58" s="9">
        <v>8760</v>
      </c>
      <c r="I58" s="8"/>
      <c r="J58" s="9"/>
    </row>
    <row r="59" spans="1:13" ht="39.9" customHeight="1" x14ac:dyDescent="0.3">
      <c r="A59" s="147"/>
      <c r="B59" s="6" t="s">
        <v>1269</v>
      </c>
      <c r="C59" s="70" t="s">
        <v>177</v>
      </c>
      <c r="D59" s="70" t="s">
        <v>1261</v>
      </c>
      <c r="E59" s="70" t="s">
        <v>224</v>
      </c>
      <c r="F59" s="70" t="s">
        <v>13</v>
      </c>
      <c r="G59" s="70" t="s">
        <v>1239</v>
      </c>
      <c r="H59" s="9">
        <v>8760</v>
      </c>
      <c r="I59" s="8"/>
      <c r="J59" s="9"/>
    </row>
    <row r="60" spans="1:13" ht="20.100000000000001" customHeight="1" x14ac:dyDescent="0.3">
      <c r="A60" s="185"/>
      <c r="B60" s="185"/>
      <c r="C60" s="185"/>
      <c r="D60" s="185"/>
      <c r="E60" s="185"/>
      <c r="F60" s="185"/>
      <c r="G60" s="185"/>
      <c r="H60" s="185"/>
      <c r="I60" s="185"/>
      <c r="J60" s="185"/>
    </row>
    <row r="61" spans="1:13" ht="39.9" customHeight="1" x14ac:dyDescent="0.3">
      <c r="A61" s="139" t="s">
        <v>1270</v>
      </c>
      <c r="B61" s="140"/>
      <c r="C61" s="140"/>
      <c r="D61" s="140"/>
      <c r="E61" s="140"/>
      <c r="F61" s="140"/>
      <c r="G61" s="140"/>
      <c r="H61" s="140"/>
      <c r="I61" s="140"/>
      <c r="J61" s="140"/>
    </row>
    <row r="62" spans="1:13" ht="30" customHeight="1" x14ac:dyDescent="0.3">
      <c r="A62" s="70"/>
      <c r="B62" s="38" t="s">
        <v>2</v>
      </c>
      <c r="C62" s="4" t="s">
        <v>42</v>
      </c>
      <c r="D62" s="4" t="s">
        <v>43</v>
      </c>
      <c r="E62" s="38" t="s">
        <v>9</v>
      </c>
      <c r="F62" s="38" t="s">
        <v>10</v>
      </c>
      <c r="G62" s="4" t="s">
        <v>11</v>
      </c>
      <c r="H62" s="4" t="s">
        <v>17</v>
      </c>
      <c r="I62" s="4"/>
      <c r="J62" s="4"/>
    </row>
    <row r="63" spans="1:13" ht="27" customHeight="1" x14ac:dyDescent="0.3">
      <c r="A63" s="147"/>
      <c r="B63" s="6" t="s">
        <v>1588</v>
      </c>
      <c r="C63" s="70" t="s">
        <v>1285</v>
      </c>
      <c r="D63" s="70" t="s">
        <v>1271</v>
      </c>
      <c r="E63" s="70" t="s">
        <v>224</v>
      </c>
      <c r="F63" s="70" t="s">
        <v>13</v>
      </c>
      <c r="G63" s="70" t="s">
        <v>568</v>
      </c>
      <c r="H63" s="9">
        <v>10860</v>
      </c>
      <c r="I63" s="8"/>
      <c r="J63" s="9"/>
    </row>
    <row r="64" spans="1:13" ht="27" customHeight="1" x14ac:dyDescent="0.3">
      <c r="A64" s="147"/>
      <c r="B64" s="6" t="s">
        <v>1589</v>
      </c>
      <c r="C64" s="70" t="s">
        <v>1285</v>
      </c>
      <c r="D64" s="70" t="s">
        <v>1271</v>
      </c>
      <c r="E64" s="70" t="s">
        <v>224</v>
      </c>
      <c r="F64" s="70" t="s">
        <v>13</v>
      </c>
      <c r="G64" s="70" t="s">
        <v>890</v>
      </c>
      <c r="H64" s="9">
        <v>14100</v>
      </c>
      <c r="I64" s="8"/>
      <c r="J64" s="9"/>
      <c r="M64" s="12" t="s">
        <v>1765</v>
      </c>
    </row>
    <row r="65" spans="1:10" ht="27" customHeight="1" x14ac:dyDescent="0.3">
      <c r="A65" s="147"/>
      <c r="B65" s="6" t="s">
        <v>1590</v>
      </c>
      <c r="C65" s="70" t="s">
        <v>1286</v>
      </c>
      <c r="D65" s="70" t="s">
        <v>1272</v>
      </c>
      <c r="E65" s="70" t="s">
        <v>224</v>
      </c>
      <c r="F65" s="70" t="s">
        <v>13</v>
      </c>
      <c r="G65" s="70" t="s">
        <v>568</v>
      </c>
      <c r="H65" s="9">
        <v>10860</v>
      </c>
      <c r="I65" s="8"/>
      <c r="J65" s="9"/>
    </row>
    <row r="66" spans="1:10" ht="27" customHeight="1" x14ac:dyDescent="0.3">
      <c r="A66" s="147"/>
      <c r="B66" s="6" t="s">
        <v>1591</v>
      </c>
      <c r="C66" s="70" t="s">
        <v>1286</v>
      </c>
      <c r="D66" s="70" t="s">
        <v>1272</v>
      </c>
      <c r="E66" s="70" t="s">
        <v>224</v>
      </c>
      <c r="F66" s="70" t="s">
        <v>13</v>
      </c>
      <c r="G66" s="70" t="s">
        <v>890</v>
      </c>
      <c r="H66" s="9">
        <v>14100</v>
      </c>
      <c r="I66" s="8"/>
      <c r="J66" s="9"/>
    </row>
    <row r="67" spans="1:10" ht="27" customHeight="1" x14ac:dyDescent="0.3">
      <c r="A67" s="147"/>
      <c r="B67" s="6" t="s">
        <v>1592</v>
      </c>
      <c r="C67" s="70" t="s">
        <v>1286</v>
      </c>
      <c r="D67" s="70" t="s">
        <v>1272</v>
      </c>
      <c r="E67" s="70" t="s">
        <v>224</v>
      </c>
      <c r="F67" s="70" t="s">
        <v>13</v>
      </c>
      <c r="G67" s="70" t="s">
        <v>569</v>
      </c>
      <c r="H67" s="9">
        <v>18300</v>
      </c>
      <c r="I67" s="8"/>
      <c r="J67" s="9"/>
    </row>
    <row r="68" spans="1:10" ht="27" customHeight="1" x14ac:dyDescent="0.3">
      <c r="A68" s="147"/>
      <c r="B68" s="6" t="s">
        <v>1593</v>
      </c>
      <c r="C68" s="70" t="s">
        <v>1287</v>
      </c>
      <c r="D68" s="70" t="s">
        <v>1273</v>
      </c>
      <c r="E68" s="70" t="s">
        <v>224</v>
      </c>
      <c r="F68" s="70" t="s">
        <v>13</v>
      </c>
      <c r="G68" s="70" t="s">
        <v>890</v>
      </c>
      <c r="H68" s="9">
        <v>14100</v>
      </c>
      <c r="I68" s="8"/>
      <c r="J68" s="9"/>
    </row>
    <row r="69" spans="1:10" ht="27" customHeight="1" x14ac:dyDescent="0.3">
      <c r="A69" s="147"/>
      <c r="B69" s="6" t="s">
        <v>1594</v>
      </c>
      <c r="C69" s="70" t="s">
        <v>1287</v>
      </c>
      <c r="D69" s="70" t="s">
        <v>1273</v>
      </c>
      <c r="E69" s="70" t="s">
        <v>224</v>
      </c>
      <c r="F69" s="70" t="s">
        <v>13</v>
      </c>
      <c r="G69" s="70" t="s">
        <v>569</v>
      </c>
      <c r="H69" s="9">
        <v>18300</v>
      </c>
      <c r="I69" s="8"/>
      <c r="J69" s="9"/>
    </row>
    <row r="70" spans="1:10" ht="27" customHeight="1" x14ac:dyDescent="0.3">
      <c r="A70" s="147"/>
      <c r="B70" s="6" t="s">
        <v>1595</v>
      </c>
      <c r="C70" s="70" t="s">
        <v>1287</v>
      </c>
      <c r="D70" s="70" t="s">
        <v>1273</v>
      </c>
      <c r="E70" s="70" t="s">
        <v>224</v>
      </c>
      <c r="F70" s="70" t="s">
        <v>13</v>
      </c>
      <c r="G70" s="70" t="s">
        <v>789</v>
      </c>
      <c r="H70" s="9">
        <v>19500</v>
      </c>
      <c r="I70" s="8"/>
      <c r="J70" s="9"/>
    </row>
    <row r="71" spans="1:10" ht="27" customHeight="1" x14ac:dyDescent="0.3">
      <c r="A71" s="147"/>
      <c r="B71" s="6" t="s">
        <v>1596</v>
      </c>
      <c r="C71" s="70" t="s">
        <v>1288</v>
      </c>
      <c r="D71" s="70" t="s">
        <v>1274</v>
      </c>
      <c r="E71" s="70" t="s">
        <v>224</v>
      </c>
      <c r="F71" s="70" t="s">
        <v>13</v>
      </c>
      <c r="G71" s="70" t="s">
        <v>789</v>
      </c>
      <c r="H71" s="9">
        <v>19500</v>
      </c>
      <c r="I71" s="8"/>
      <c r="J71" s="9"/>
    </row>
    <row r="72" spans="1:10" ht="20.100000000000001" customHeight="1" x14ac:dyDescent="0.3">
      <c r="A72" s="159" t="s">
        <v>67</v>
      </c>
      <c r="B72" s="159"/>
      <c r="C72" s="159"/>
      <c r="D72" s="159"/>
      <c r="E72" s="159"/>
      <c r="F72" s="159"/>
      <c r="G72" s="159"/>
      <c r="H72" s="159"/>
      <c r="I72" s="159"/>
      <c r="J72" s="159"/>
    </row>
    <row r="73" spans="1:10" ht="20.100000000000001" customHeight="1" x14ac:dyDescent="0.3">
      <c r="A73" s="181" t="s">
        <v>910</v>
      </c>
      <c r="B73" s="182"/>
      <c r="C73" s="182"/>
      <c r="D73" s="182"/>
      <c r="E73" s="182"/>
      <c r="F73" s="182"/>
      <c r="G73" s="183"/>
      <c r="H73" s="9" t="s">
        <v>829</v>
      </c>
      <c r="I73" s="8" t="s">
        <v>187</v>
      </c>
      <c r="J73" s="9" t="s">
        <v>829</v>
      </c>
    </row>
    <row r="74" spans="1:10" ht="20.100000000000001" customHeight="1" x14ac:dyDescent="0.3">
      <c r="A74" s="185"/>
      <c r="B74" s="185"/>
      <c r="C74" s="185"/>
      <c r="D74" s="185"/>
      <c r="E74" s="185"/>
      <c r="F74" s="185"/>
      <c r="G74" s="185"/>
      <c r="H74" s="185"/>
      <c r="I74" s="185"/>
      <c r="J74" s="185"/>
    </row>
    <row r="75" spans="1:10" ht="39.9" customHeight="1" x14ac:dyDescent="0.3">
      <c r="A75" s="139" t="s">
        <v>1284</v>
      </c>
      <c r="B75" s="139"/>
      <c r="C75" s="139"/>
      <c r="D75" s="139"/>
      <c r="E75" s="139"/>
      <c r="F75" s="139"/>
      <c r="G75" s="139"/>
      <c r="H75" s="139"/>
      <c r="I75" s="139"/>
      <c r="J75" s="139"/>
    </row>
    <row r="76" spans="1:10" ht="30" customHeight="1" x14ac:dyDescent="0.3">
      <c r="A76" s="70"/>
      <c r="B76" s="38" t="s">
        <v>2</v>
      </c>
      <c r="C76" s="4" t="s">
        <v>42</v>
      </c>
      <c r="D76" s="4" t="s">
        <v>43</v>
      </c>
      <c r="E76" s="38" t="s">
        <v>9</v>
      </c>
      <c r="F76" s="38" t="s">
        <v>10</v>
      </c>
      <c r="G76" s="4" t="s">
        <v>11</v>
      </c>
      <c r="H76" s="4" t="s">
        <v>17</v>
      </c>
      <c r="I76" s="4"/>
      <c r="J76" s="4"/>
    </row>
    <row r="77" spans="1:10" ht="27" customHeight="1" x14ac:dyDescent="0.3">
      <c r="A77" s="147"/>
      <c r="B77" s="6" t="s">
        <v>1597</v>
      </c>
      <c r="C77" s="70" t="s">
        <v>1285</v>
      </c>
      <c r="D77" s="70" t="s">
        <v>1271</v>
      </c>
      <c r="E77" s="70" t="s">
        <v>224</v>
      </c>
      <c r="F77" s="70" t="s">
        <v>13</v>
      </c>
      <c r="G77" s="70" t="s">
        <v>568</v>
      </c>
      <c r="H77" s="9">
        <v>12120</v>
      </c>
      <c r="I77" s="8"/>
      <c r="J77" s="9"/>
    </row>
    <row r="78" spans="1:10" ht="27" customHeight="1" x14ac:dyDescent="0.3">
      <c r="A78" s="147"/>
      <c r="B78" s="6" t="s">
        <v>1598</v>
      </c>
      <c r="C78" s="70" t="s">
        <v>1285</v>
      </c>
      <c r="D78" s="70" t="s">
        <v>1271</v>
      </c>
      <c r="E78" s="70" t="s">
        <v>224</v>
      </c>
      <c r="F78" s="70" t="s">
        <v>13</v>
      </c>
      <c r="G78" s="70" t="s">
        <v>890</v>
      </c>
      <c r="H78" s="9">
        <v>15120</v>
      </c>
      <c r="I78" s="8"/>
      <c r="J78" s="9"/>
    </row>
    <row r="79" spans="1:10" ht="27" customHeight="1" x14ac:dyDescent="0.3">
      <c r="A79" s="147"/>
      <c r="B79" s="6" t="s">
        <v>1599</v>
      </c>
      <c r="C79" s="70" t="s">
        <v>1286</v>
      </c>
      <c r="D79" s="70" t="s">
        <v>1272</v>
      </c>
      <c r="E79" s="70" t="s">
        <v>224</v>
      </c>
      <c r="F79" s="70" t="s">
        <v>13</v>
      </c>
      <c r="G79" s="70" t="s">
        <v>568</v>
      </c>
      <c r="H79" s="9">
        <v>12120</v>
      </c>
      <c r="I79" s="8"/>
      <c r="J79" s="9"/>
    </row>
    <row r="80" spans="1:10" ht="27" customHeight="1" x14ac:dyDescent="0.3">
      <c r="A80" s="147"/>
      <c r="B80" s="6" t="s">
        <v>1600</v>
      </c>
      <c r="C80" s="70" t="s">
        <v>1286</v>
      </c>
      <c r="D80" s="70" t="s">
        <v>1272</v>
      </c>
      <c r="E80" s="70" t="s">
        <v>224</v>
      </c>
      <c r="F80" s="70" t="s">
        <v>13</v>
      </c>
      <c r="G80" s="70" t="s">
        <v>890</v>
      </c>
      <c r="H80" s="9">
        <v>15120</v>
      </c>
      <c r="I80" s="8"/>
      <c r="J80" s="9"/>
    </row>
    <row r="81" spans="1:10" ht="27" customHeight="1" x14ac:dyDescent="0.3">
      <c r="A81" s="147"/>
      <c r="B81" s="6" t="s">
        <v>1605</v>
      </c>
      <c r="C81" s="70" t="s">
        <v>1286</v>
      </c>
      <c r="D81" s="70" t="s">
        <v>1272</v>
      </c>
      <c r="E81" s="70" t="s">
        <v>224</v>
      </c>
      <c r="F81" s="70" t="s">
        <v>13</v>
      </c>
      <c r="G81" s="70" t="s">
        <v>569</v>
      </c>
      <c r="H81" s="9">
        <v>18900</v>
      </c>
      <c r="I81" s="8"/>
      <c r="J81" s="9"/>
    </row>
    <row r="82" spans="1:10" ht="27" customHeight="1" x14ac:dyDescent="0.3">
      <c r="A82" s="147"/>
      <c r="B82" s="6" t="s">
        <v>1601</v>
      </c>
      <c r="C82" s="70" t="s">
        <v>1287</v>
      </c>
      <c r="D82" s="70" t="s">
        <v>1273</v>
      </c>
      <c r="E82" s="70" t="s">
        <v>224</v>
      </c>
      <c r="F82" s="70" t="s">
        <v>13</v>
      </c>
      <c r="G82" s="70" t="s">
        <v>890</v>
      </c>
      <c r="H82" s="9">
        <v>15120</v>
      </c>
      <c r="I82" s="8"/>
      <c r="J82" s="9"/>
    </row>
    <row r="83" spans="1:10" ht="27" customHeight="1" x14ac:dyDescent="0.3">
      <c r="A83" s="147"/>
      <c r="B83" s="6" t="s">
        <v>1602</v>
      </c>
      <c r="C83" s="70" t="s">
        <v>1287</v>
      </c>
      <c r="D83" s="70" t="s">
        <v>1273</v>
      </c>
      <c r="E83" s="70" t="s">
        <v>224</v>
      </c>
      <c r="F83" s="70" t="s">
        <v>13</v>
      </c>
      <c r="G83" s="70" t="s">
        <v>569</v>
      </c>
      <c r="H83" s="9">
        <v>18900</v>
      </c>
      <c r="I83" s="8"/>
      <c r="J83" s="9"/>
    </row>
    <row r="84" spans="1:10" ht="27" customHeight="1" x14ac:dyDescent="0.3">
      <c r="A84" s="147"/>
      <c r="B84" s="6" t="s">
        <v>1603</v>
      </c>
      <c r="C84" s="70" t="s">
        <v>1287</v>
      </c>
      <c r="D84" s="70" t="s">
        <v>1273</v>
      </c>
      <c r="E84" s="70" t="s">
        <v>224</v>
      </c>
      <c r="F84" s="70" t="s">
        <v>13</v>
      </c>
      <c r="G84" s="70" t="s">
        <v>789</v>
      </c>
      <c r="H84" s="9">
        <v>21120</v>
      </c>
      <c r="I84" s="8"/>
      <c r="J84" s="9"/>
    </row>
    <row r="85" spans="1:10" ht="27" customHeight="1" x14ac:dyDescent="0.3">
      <c r="A85" s="147"/>
      <c r="B85" s="6" t="s">
        <v>1604</v>
      </c>
      <c r="C85" s="70" t="s">
        <v>1288</v>
      </c>
      <c r="D85" s="70" t="s">
        <v>1274</v>
      </c>
      <c r="E85" s="70" t="s">
        <v>224</v>
      </c>
      <c r="F85" s="70" t="s">
        <v>13</v>
      </c>
      <c r="G85" s="70" t="s">
        <v>789</v>
      </c>
      <c r="H85" s="9">
        <v>21120</v>
      </c>
      <c r="I85" s="8"/>
      <c r="J85" s="9"/>
    </row>
    <row r="86" spans="1:10" ht="20.100000000000001" customHeight="1" x14ac:dyDescent="0.3">
      <c r="A86" s="159" t="s">
        <v>67</v>
      </c>
      <c r="B86" s="159"/>
      <c r="C86" s="159"/>
      <c r="D86" s="159"/>
      <c r="E86" s="159"/>
      <c r="F86" s="159"/>
      <c r="G86" s="159"/>
      <c r="H86" s="159"/>
      <c r="I86" s="159"/>
      <c r="J86" s="159"/>
    </row>
    <row r="87" spans="1:10" ht="20.100000000000001" customHeight="1" x14ac:dyDescent="0.3">
      <c r="A87" s="181" t="s">
        <v>910</v>
      </c>
      <c r="B87" s="182"/>
      <c r="C87" s="182"/>
      <c r="D87" s="182"/>
      <c r="E87" s="182"/>
      <c r="F87" s="182"/>
      <c r="G87" s="183"/>
      <c r="H87" s="9" t="s">
        <v>829</v>
      </c>
      <c r="I87" s="8" t="s">
        <v>187</v>
      </c>
      <c r="J87" s="9" t="s">
        <v>829</v>
      </c>
    </row>
    <row r="88" spans="1:10" ht="20.100000000000001" customHeight="1" x14ac:dyDescent="0.3">
      <c r="A88" s="185"/>
      <c r="B88" s="185"/>
      <c r="C88" s="185"/>
      <c r="D88" s="185"/>
      <c r="E88" s="185"/>
      <c r="F88" s="185"/>
      <c r="G88" s="185"/>
      <c r="H88" s="185"/>
      <c r="I88" s="185"/>
      <c r="J88" s="185"/>
    </row>
    <row r="89" spans="1:10" ht="39.9" customHeight="1" x14ac:dyDescent="0.3">
      <c r="A89" s="139" t="s">
        <v>1289</v>
      </c>
      <c r="B89" s="139"/>
      <c r="C89" s="139"/>
      <c r="D89" s="139"/>
      <c r="E89" s="139"/>
      <c r="F89" s="139"/>
      <c r="G89" s="139"/>
      <c r="H89" s="139"/>
      <c r="I89" s="139"/>
      <c r="J89" s="139"/>
    </row>
    <row r="90" spans="1:10" ht="30" customHeight="1" x14ac:dyDescent="0.3">
      <c r="A90" s="70"/>
      <c r="B90" s="38" t="s">
        <v>2</v>
      </c>
      <c r="C90" s="4" t="s">
        <v>42</v>
      </c>
      <c r="D90" s="4" t="s">
        <v>43</v>
      </c>
      <c r="E90" s="38" t="s">
        <v>9</v>
      </c>
      <c r="F90" s="38" t="s">
        <v>10</v>
      </c>
      <c r="G90" s="4" t="s">
        <v>11</v>
      </c>
      <c r="H90" s="4" t="s">
        <v>17</v>
      </c>
      <c r="I90" s="4"/>
      <c r="J90" s="4"/>
    </row>
    <row r="91" spans="1:10" ht="39.9" customHeight="1" x14ac:dyDescent="0.3">
      <c r="A91" s="147"/>
      <c r="B91" s="6" t="s">
        <v>1606</v>
      </c>
      <c r="C91" s="70" t="s">
        <v>1285</v>
      </c>
      <c r="D91" s="70" t="s">
        <v>1271</v>
      </c>
      <c r="E91" s="70" t="s">
        <v>224</v>
      </c>
      <c r="F91" s="70" t="s">
        <v>13</v>
      </c>
      <c r="G91" s="70" t="s">
        <v>568</v>
      </c>
      <c r="H91" s="9">
        <v>18000</v>
      </c>
      <c r="I91" s="8"/>
      <c r="J91" s="9"/>
    </row>
    <row r="92" spans="1:10" ht="39.9" customHeight="1" x14ac:dyDescent="0.3">
      <c r="A92" s="147"/>
      <c r="B92" s="6" t="s">
        <v>1607</v>
      </c>
      <c r="C92" s="70" t="s">
        <v>1286</v>
      </c>
      <c r="D92" s="70" t="s">
        <v>1272</v>
      </c>
      <c r="E92" s="70" t="s">
        <v>224</v>
      </c>
      <c r="F92" s="70" t="s">
        <v>13</v>
      </c>
      <c r="G92" s="70" t="s">
        <v>568</v>
      </c>
      <c r="H92" s="9">
        <v>18000</v>
      </c>
      <c r="I92" s="8"/>
      <c r="J92" s="9"/>
    </row>
    <row r="93" spans="1:10" ht="39.9" customHeight="1" x14ac:dyDescent="0.3">
      <c r="A93" s="147"/>
      <c r="B93" s="6" t="s">
        <v>1611</v>
      </c>
      <c r="C93" s="70" t="s">
        <v>1286</v>
      </c>
      <c r="D93" s="70" t="s">
        <v>1272</v>
      </c>
      <c r="E93" s="70" t="s">
        <v>224</v>
      </c>
      <c r="F93" s="70" t="s">
        <v>13</v>
      </c>
      <c r="G93" s="70" t="s">
        <v>890</v>
      </c>
      <c r="H93" s="9">
        <v>20580</v>
      </c>
      <c r="I93" s="8"/>
      <c r="J93" s="9"/>
    </row>
    <row r="94" spans="1:10" ht="39.9" customHeight="1" x14ac:dyDescent="0.3">
      <c r="A94" s="147"/>
      <c r="B94" s="6" t="s">
        <v>1608</v>
      </c>
      <c r="C94" s="70" t="s">
        <v>1287</v>
      </c>
      <c r="D94" s="70" t="s">
        <v>1273</v>
      </c>
      <c r="E94" s="70" t="s">
        <v>224</v>
      </c>
      <c r="F94" s="70" t="s">
        <v>13</v>
      </c>
      <c r="G94" s="70" t="s">
        <v>569</v>
      </c>
      <c r="H94" s="9">
        <v>24900</v>
      </c>
      <c r="I94" s="8"/>
      <c r="J94" s="9"/>
    </row>
    <row r="95" spans="1:10" ht="39.9" customHeight="1" x14ac:dyDescent="0.3">
      <c r="A95" s="147"/>
      <c r="B95" s="6" t="s">
        <v>1609</v>
      </c>
      <c r="C95" s="70" t="s">
        <v>1287</v>
      </c>
      <c r="D95" s="70" t="s">
        <v>1273</v>
      </c>
      <c r="E95" s="70" t="s">
        <v>224</v>
      </c>
      <c r="F95" s="70" t="s">
        <v>13</v>
      </c>
      <c r="G95" s="70" t="s">
        <v>789</v>
      </c>
      <c r="H95" s="9">
        <v>27000</v>
      </c>
      <c r="I95" s="8"/>
      <c r="J95" s="9"/>
    </row>
    <row r="96" spans="1:10" ht="39.9" customHeight="1" x14ac:dyDescent="0.3">
      <c r="A96" s="147"/>
      <c r="B96" s="6" t="s">
        <v>1610</v>
      </c>
      <c r="C96" s="70" t="s">
        <v>1288</v>
      </c>
      <c r="D96" s="70" t="s">
        <v>1274</v>
      </c>
      <c r="E96" s="70" t="s">
        <v>224</v>
      </c>
      <c r="F96" s="70" t="s">
        <v>13</v>
      </c>
      <c r="G96" s="70" t="s">
        <v>789</v>
      </c>
      <c r="H96" s="9">
        <v>27000</v>
      </c>
      <c r="I96" s="8"/>
      <c r="J96" s="9"/>
    </row>
    <row r="97" spans="1:10" ht="20.100000000000001" customHeight="1" x14ac:dyDescent="0.3">
      <c r="A97" s="159" t="s">
        <v>67</v>
      </c>
      <c r="B97" s="159"/>
      <c r="C97" s="159"/>
      <c r="D97" s="159"/>
      <c r="E97" s="159"/>
      <c r="F97" s="159"/>
      <c r="G97" s="159"/>
      <c r="H97" s="159"/>
      <c r="I97" s="159"/>
      <c r="J97" s="159"/>
    </row>
    <row r="98" spans="1:10" ht="20.100000000000001" customHeight="1" x14ac:dyDescent="0.3">
      <c r="A98" s="181" t="s">
        <v>910</v>
      </c>
      <c r="B98" s="182"/>
      <c r="C98" s="182"/>
      <c r="D98" s="182"/>
      <c r="E98" s="182"/>
      <c r="F98" s="182"/>
      <c r="G98" s="183"/>
      <c r="H98" s="9" t="s">
        <v>829</v>
      </c>
      <c r="I98" s="8" t="s">
        <v>187</v>
      </c>
      <c r="J98" s="9" t="s">
        <v>829</v>
      </c>
    </row>
  </sheetData>
  <mergeCells count="41">
    <mergeCell ref="A15:J15"/>
    <mergeCell ref="A1:J1"/>
    <mergeCell ref="A3:A8"/>
    <mergeCell ref="A9:J9"/>
    <mergeCell ref="A10:J10"/>
    <mergeCell ref="A12:A14"/>
    <mergeCell ref="A48:J48"/>
    <mergeCell ref="A16:J16"/>
    <mergeCell ref="A18:A20"/>
    <mergeCell ref="A21:J21"/>
    <mergeCell ref="A22:J22"/>
    <mergeCell ref="A24:A27"/>
    <mergeCell ref="A28:J28"/>
    <mergeCell ref="A29:J29"/>
    <mergeCell ref="A31:A34"/>
    <mergeCell ref="A35:J35"/>
    <mergeCell ref="A43:J43"/>
    <mergeCell ref="A45:A47"/>
    <mergeCell ref="A36:J36"/>
    <mergeCell ref="A38:A41"/>
    <mergeCell ref="A42:J42"/>
    <mergeCell ref="A75:J75"/>
    <mergeCell ref="A49:J49"/>
    <mergeCell ref="A51:A53"/>
    <mergeCell ref="A54:J54"/>
    <mergeCell ref="A55:J55"/>
    <mergeCell ref="A57:A59"/>
    <mergeCell ref="A60:J60"/>
    <mergeCell ref="A61:J61"/>
    <mergeCell ref="A63:A71"/>
    <mergeCell ref="A72:J72"/>
    <mergeCell ref="A73:G73"/>
    <mergeCell ref="A74:J74"/>
    <mergeCell ref="A97:J97"/>
    <mergeCell ref="A98:G98"/>
    <mergeCell ref="A77:A85"/>
    <mergeCell ref="A86:J86"/>
    <mergeCell ref="A87:G87"/>
    <mergeCell ref="A88:J88"/>
    <mergeCell ref="A89:J89"/>
    <mergeCell ref="A91:A96"/>
  </mergeCells>
  <hyperlinks>
    <hyperlink ref="B18" r:id="rId1" display="MS-05"/>
    <hyperlink ref="B19" r:id="rId2"/>
    <hyperlink ref="B20" r:id="rId3"/>
    <hyperlink ref="B24" r:id="rId4" display="MSWE-03"/>
    <hyperlink ref="B25" r:id="rId5" display="MSWE-06"/>
    <hyperlink ref="B26" r:id="rId6"/>
    <hyperlink ref="B27" r:id="rId7"/>
    <hyperlink ref="B31" r:id="rId8" display="MSWE-03D"/>
    <hyperlink ref="B33" r:id="rId9"/>
    <hyperlink ref="B32" r:id="rId10" display="MSWE-06D"/>
    <hyperlink ref="B34" r:id="rId11"/>
    <hyperlink ref="B45" r:id="rId12"/>
    <hyperlink ref="B46" r:id="rId13"/>
    <hyperlink ref="B47" r:id="rId14"/>
    <hyperlink ref="B52" r:id="rId15"/>
    <hyperlink ref="B51" r:id="rId16"/>
    <hyperlink ref="B53" r:id="rId17"/>
    <hyperlink ref="B57" r:id="rId18"/>
    <hyperlink ref="B58" r:id="rId19"/>
    <hyperlink ref="B59" r:id="rId20"/>
    <hyperlink ref="B64" r:id="rId21" display="PM1E-100"/>
    <hyperlink ref="B63" r:id="rId22" display="PM1E-100"/>
    <hyperlink ref="B65" r:id="rId23" display="PM1E-150"/>
    <hyperlink ref="B66" r:id="rId24" display="PM1E-150"/>
    <hyperlink ref="B68" r:id="rId25" display="PM1E-300"/>
    <hyperlink ref="B69" r:id="rId26" display="PM1E-300"/>
    <hyperlink ref="B70" r:id="rId27" display="PM1E-300"/>
    <hyperlink ref="B71" r:id="rId28" display="PM1E-500"/>
    <hyperlink ref="B77" r:id="rId29" display="PM1B-100"/>
    <hyperlink ref="B78" r:id="rId30" display="PM1B-100"/>
    <hyperlink ref="B79" r:id="rId31" display="PM1B-150"/>
    <hyperlink ref="B80" r:id="rId32" display="PM1B-150"/>
    <hyperlink ref="B81" r:id="rId33" display="PM1B-150"/>
    <hyperlink ref="B82" r:id="rId34" display="PM1B-300"/>
    <hyperlink ref="B83" r:id="rId35" display="PM1B-300"/>
    <hyperlink ref="B84" r:id="rId36" display="PM1B-300"/>
    <hyperlink ref="B85" r:id="rId37" display="PM1B-500"/>
    <hyperlink ref="B91" r:id="rId38" display="PM1H-100"/>
    <hyperlink ref="B92" r:id="rId39" display="PM1H-150"/>
    <hyperlink ref="B93" r:id="rId40" display="PM1H-150"/>
    <hyperlink ref="B94" r:id="rId41" display="PM1H-300"/>
    <hyperlink ref="B95" r:id="rId42" display="PM1H-300"/>
    <hyperlink ref="B96" r:id="rId43" display="PM1H-500"/>
    <hyperlink ref="B67" r:id="rId44" display="PM1E-150"/>
    <hyperlink ref="B6" r:id="rId45" display="MSC-05"/>
    <hyperlink ref="B7" r:id="rId46" display="MSC-10"/>
    <hyperlink ref="B8" r:id="rId47" display="MSC-25"/>
    <hyperlink ref="B3" r:id="rId48"/>
    <hyperlink ref="B4" r:id="rId49"/>
    <hyperlink ref="B5" r:id="rId50"/>
    <hyperlink ref="B14" r:id="rId51" display="MSC-25D"/>
    <hyperlink ref="B12" r:id="rId52" display="MSC-05D"/>
    <hyperlink ref="B13" r:id="rId53" display="MSC-10D"/>
  </hyperlinks>
  <pageMargins left="0.7" right="0.7" top="0.75" bottom="0.75" header="0.3" footer="0.3"/>
  <pageSetup paperSize="9" orientation="portrait" r:id="rId54"/>
  <drawing r:id="rId5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opLeftCell="A10" zoomScale="85" zoomScaleNormal="85" workbookViewId="0">
      <selection activeCell="I15" sqref="I15:J19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8.44140625" style="1" hidden="1" customWidth="1"/>
    <col min="13" max="13" width="0" style="1" hidden="1" customWidth="1"/>
    <col min="14" max="16384" width="9.109375" style="1"/>
  </cols>
  <sheetData>
    <row r="1" spans="1:12" ht="39.9" customHeight="1" x14ac:dyDescent="0.3">
      <c r="A1" s="139" t="s">
        <v>1417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2" ht="30" customHeight="1" x14ac:dyDescent="0.3">
      <c r="A2" s="5"/>
      <c r="B2" s="3" t="s">
        <v>2</v>
      </c>
      <c r="C2" s="4" t="s">
        <v>42</v>
      </c>
      <c r="D2" s="4" t="s">
        <v>43</v>
      </c>
      <c r="E2" s="3" t="s">
        <v>9</v>
      </c>
      <c r="F2" s="3" t="s">
        <v>10</v>
      </c>
      <c r="G2" s="4" t="s">
        <v>11</v>
      </c>
      <c r="H2" s="4" t="s">
        <v>17</v>
      </c>
      <c r="I2" s="4"/>
      <c r="J2" s="4"/>
    </row>
    <row r="3" spans="1:12" ht="60" customHeight="1" x14ac:dyDescent="0.3">
      <c r="A3" s="147"/>
      <c r="B3" s="6" t="s">
        <v>280</v>
      </c>
      <c r="C3" s="5" t="s">
        <v>45</v>
      </c>
      <c r="D3" s="5" t="s">
        <v>47</v>
      </c>
      <c r="E3" s="5" t="s">
        <v>14</v>
      </c>
      <c r="F3" s="5" t="s">
        <v>15</v>
      </c>
      <c r="G3" s="5" t="s">
        <v>16</v>
      </c>
      <c r="H3" s="9">
        <v>109750</v>
      </c>
      <c r="I3" s="8"/>
      <c r="J3" s="9"/>
      <c r="L3" s="12" t="s">
        <v>1800</v>
      </c>
    </row>
    <row r="4" spans="1:12" ht="60" customHeight="1" x14ac:dyDescent="0.3">
      <c r="A4" s="147"/>
      <c r="B4" s="6" t="s">
        <v>281</v>
      </c>
      <c r="C4" s="5" t="s">
        <v>46</v>
      </c>
      <c r="D4" s="5" t="s">
        <v>47</v>
      </c>
      <c r="E4" s="5" t="s">
        <v>14</v>
      </c>
      <c r="F4" s="5" t="s">
        <v>15</v>
      </c>
      <c r="G4" s="5" t="s">
        <v>16</v>
      </c>
      <c r="H4" s="9">
        <v>114320</v>
      </c>
      <c r="I4" s="8"/>
      <c r="J4" s="9"/>
      <c r="L4" s="12" t="s">
        <v>1800</v>
      </c>
    </row>
    <row r="5" spans="1:12" ht="20.100000000000001" customHeight="1" x14ac:dyDescent="0.3">
      <c r="A5" s="185"/>
      <c r="B5" s="185"/>
      <c r="C5" s="185"/>
      <c r="D5" s="185"/>
      <c r="E5" s="185"/>
      <c r="F5" s="185"/>
      <c r="G5" s="185"/>
      <c r="H5" s="185"/>
      <c r="I5" s="185"/>
      <c r="J5" s="185"/>
    </row>
    <row r="6" spans="1:12" ht="39.9" customHeight="1" x14ac:dyDescent="0.3">
      <c r="A6" s="139" t="s">
        <v>1418</v>
      </c>
      <c r="B6" s="140"/>
      <c r="C6" s="140"/>
      <c r="D6" s="140"/>
      <c r="E6" s="140"/>
      <c r="F6" s="140"/>
      <c r="G6" s="140"/>
      <c r="H6" s="140"/>
      <c r="I6" s="140"/>
      <c r="J6" s="140"/>
    </row>
    <row r="7" spans="1:12" ht="30" customHeight="1" x14ac:dyDescent="0.3">
      <c r="A7" s="5"/>
      <c r="B7" s="3" t="s">
        <v>2</v>
      </c>
      <c r="C7" s="4" t="s">
        <v>42</v>
      </c>
      <c r="D7" s="4" t="s">
        <v>43</v>
      </c>
      <c r="E7" s="3" t="s">
        <v>9</v>
      </c>
      <c r="F7" s="3" t="s">
        <v>10</v>
      </c>
      <c r="G7" s="4" t="s">
        <v>11</v>
      </c>
      <c r="H7" s="4" t="s">
        <v>17</v>
      </c>
      <c r="I7" s="4"/>
      <c r="J7" s="4"/>
    </row>
    <row r="8" spans="1:12" ht="30" customHeight="1" x14ac:dyDescent="0.3">
      <c r="A8" s="147"/>
      <c r="B8" s="6" t="s">
        <v>282</v>
      </c>
      <c r="C8" s="5" t="s">
        <v>189</v>
      </c>
      <c r="D8" s="5" t="s">
        <v>48</v>
      </c>
      <c r="E8" s="5" t="s">
        <v>27</v>
      </c>
      <c r="F8" s="5" t="s">
        <v>15</v>
      </c>
      <c r="G8" s="5" t="s">
        <v>296</v>
      </c>
      <c r="H8" s="7">
        <v>88820</v>
      </c>
      <c r="I8" s="8"/>
      <c r="J8" s="9"/>
    </row>
    <row r="9" spans="1:12" ht="30" customHeight="1" x14ac:dyDescent="0.3">
      <c r="A9" s="147"/>
      <c r="B9" s="6" t="s">
        <v>283</v>
      </c>
      <c r="C9" s="5" t="s">
        <v>52</v>
      </c>
      <c r="D9" s="5" t="s">
        <v>48</v>
      </c>
      <c r="E9" s="5" t="s">
        <v>27</v>
      </c>
      <c r="F9" s="5" t="s">
        <v>15</v>
      </c>
      <c r="G9" s="5" t="s">
        <v>296</v>
      </c>
      <c r="H9" s="7">
        <v>90700</v>
      </c>
      <c r="I9" s="8"/>
      <c r="J9" s="9"/>
    </row>
    <row r="10" spans="1:12" ht="30" customHeight="1" x14ac:dyDescent="0.3">
      <c r="A10" s="147"/>
      <c r="B10" s="6" t="s">
        <v>284</v>
      </c>
      <c r="C10" s="5" t="s">
        <v>53</v>
      </c>
      <c r="D10" s="5" t="s">
        <v>48</v>
      </c>
      <c r="E10" s="5" t="s">
        <v>27</v>
      </c>
      <c r="F10" s="5" t="s">
        <v>15</v>
      </c>
      <c r="G10" s="5" t="s">
        <v>296</v>
      </c>
      <c r="H10" s="7">
        <v>92600</v>
      </c>
      <c r="I10" s="8"/>
      <c r="J10" s="9"/>
    </row>
    <row r="11" spans="1:12" ht="30" customHeight="1" x14ac:dyDescent="0.3">
      <c r="A11" s="147"/>
      <c r="B11" s="6" t="s">
        <v>285</v>
      </c>
      <c r="C11" s="5" t="s">
        <v>96</v>
      </c>
      <c r="D11" s="5" t="s">
        <v>48</v>
      </c>
      <c r="E11" s="5" t="s">
        <v>27</v>
      </c>
      <c r="F11" s="5" t="s">
        <v>15</v>
      </c>
      <c r="G11" s="5" t="s">
        <v>296</v>
      </c>
      <c r="H11" s="7">
        <v>94490</v>
      </c>
      <c r="I11" s="8"/>
      <c r="J11" s="9"/>
    </row>
    <row r="12" spans="1:12" ht="30" customHeight="1" x14ac:dyDescent="0.3">
      <c r="A12" s="147"/>
      <c r="B12" s="6" t="s">
        <v>286</v>
      </c>
      <c r="C12" s="5" t="s">
        <v>178</v>
      </c>
      <c r="D12" s="5" t="s">
        <v>49</v>
      </c>
      <c r="E12" s="5" t="s">
        <v>27</v>
      </c>
      <c r="F12" s="5" t="s">
        <v>15</v>
      </c>
      <c r="G12" s="5" t="s">
        <v>296</v>
      </c>
      <c r="H12" s="7">
        <v>64370</v>
      </c>
      <c r="I12" s="8"/>
      <c r="J12" s="9"/>
      <c r="L12" s="12" t="s">
        <v>1799</v>
      </c>
    </row>
    <row r="13" spans="1:12" ht="30" customHeight="1" x14ac:dyDescent="0.3">
      <c r="A13" s="147"/>
      <c r="B13" s="6" t="s">
        <v>287</v>
      </c>
      <c r="C13" s="5" t="s">
        <v>294</v>
      </c>
      <c r="D13" s="5" t="s">
        <v>49</v>
      </c>
      <c r="E13" s="5" t="s">
        <v>27</v>
      </c>
      <c r="F13" s="5" t="s">
        <v>15</v>
      </c>
      <c r="G13" s="5" t="s">
        <v>296</v>
      </c>
      <c r="H13" s="7">
        <v>66360</v>
      </c>
      <c r="I13" s="8"/>
      <c r="J13" s="9"/>
    </row>
    <row r="14" spans="1:12" ht="30" customHeight="1" x14ac:dyDescent="0.3">
      <c r="A14" s="147"/>
      <c r="B14" s="6" t="s">
        <v>288</v>
      </c>
      <c r="C14" s="5" t="s">
        <v>179</v>
      </c>
      <c r="D14" s="5" t="s">
        <v>49</v>
      </c>
      <c r="E14" s="5" t="s">
        <v>27</v>
      </c>
      <c r="F14" s="5" t="s">
        <v>15</v>
      </c>
      <c r="G14" s="5" t="s">
        <v>297</v>
      </c>
      <c r="H14" s="7">
        <v>88660</v>
      </c>
      <c r="I14" s="8"/>
      <c r="J14" s="9"/>
      <c r="L14" s="12" t="s">
        <v>1799</v>
      </c>
    </row>
    <row r="15" spans="1:12" ht="30" customHeight="1" x14ac:dyDescent="0.3">
      <c r="A15" s="147"/>
      <c r="B15" s="6" t="s">
        <v>289</v>
      </c>
      <c r="C15" s="5" t="s">
        <v>58</v>
      </c>
      <c r="D15" s="5" t="s">
        <v>49</v>
      </c>
      <c r="E15" s="5" t="s">
        <v>27</v>
      </c>
      <c r="F15" s="5" t="s">
        <v>15</v>
      </c>
      <c r="G15" s="5" t="s">
        <v>297</v>
      </c>
      <c r="H15" s="7">
        <v>90470</v>
      </c>
      <c r="I15" s="8"/>
      <c r="J15" s="9"/>
    </row>
    <row r="16" spans="1:12" ht="30" customHeight="1" x14ac:dyDescent="0.3">
      <c r="A16" s="147"/>
      <c r="B16" s="6" t="s">
        <v>290</v>
      </c>
      <c r="C16" s="5" t="s">
        <v>99</v>
      </c>
      <c r="D16" s="5" t="s">
        <v>49</v>
      </c>
      <c r="E16" s="5" t="s">
        <v>27</v>
      </c>
      <c r="F16" s="5" t="s">
        <v>15</v>
      </c>
      <c r="G16" s="5" t="s">
        <v>297</v>
      </c>
      <c r="H16" s="7">
        <v>92360</v>
      </c>
      <c r="I16" s="8"/>
      <c r="J16" s="9"/>
    </row>
    <row r="17" spans="1:12" ht="30" customHeight="1" x14ac:dyDescent="0.3">
      <c r="A17" s="147"/>
      <c r="B17" s="6" t="s">
        <v>293</v>
      </c>
      <c r="C17" s="5" t="s">
        <v>100</v>
      </c>
      <c r="D17" s="5" t="s">
        <v>49</v>
      </c>
      <c r="E17" s="5" t="s">
        <v>27</v>
      </c>
      <c r="F17" s="5" t="s">
        <v>15</v>
      </c>
      <c r="G17" s="5" t="s">
        <v>297</v>
      </c>
      <c r="H17" s="7">
        <v>94240</v>
      </c>
      <c r="I17" s="8"/>
      <c r="J17" s="9"/>
      <c r="L17" s="12" t="s">
        <v>1799</v>
      </c>
    </row>
    <row r="18" spans="1:12" ht="30" customHeight="1" x14ac:dyDescent="0.3">
      <c r="A18" s="147"/>
      <c r="B18" s="6" t="s">
        <v>291</v>
      </c>
      <c r="C18" s="5" t="s">
        <v>61</v>
      </c>
      <c r="D18" s="5" t="s">
        <v>50</v>
      </c>
      <c r="E18" s="5" t="s">
        <v>27</v>
      </c>
      <c r="F18" s="5" t="s">
        <v>15</v>
      </c>
      <c r="G18" s="5" t="s">
        <v>297</v>
      </c>
      <c r="H18" s="7">
        <v>86650</v>
      </c>
      <c r="I18" s="8"/>
      <c r="J18" s="9"/>
    </row>
    <row r="19" spans="1:12" ht="30" customHeight="1" x14ac:dyDescent="0.3">
      <c r="A19" s="147"/>
      <c r="B19" s="6" t="s">
        <v>292</v>
      </c>
      <c r="C19" s="5" t="s">
        <v>295</v>
      </c>
      <c r="D19" s="5" t="s">
        <v>50</v>
      </c>
      <c r="E19" s="5" t="s">
        <v>27</v>
      </c>
      <c r="F19" s="5" t="s">
        <v>15</v>
      </c>
      <c r="G19" s="5" t="s">
        <v>297</v>
      </c>
      <c r="H19" s="7">
        <v>89330</v>
      </c>
      <c r="I19" s="8"/>
      <c r="J19" s="9"/>
    </row>
  </sheetData>
  <mergeCells count="5">
    <mergeCell ref="A5:J5"/>
    <mergeCell ref="A6:J6"/>
    <mergeCell ref="A8:A19"/>
    <mergeCell ref="A1:J1"/>
    <mergeCell ref="A3:A4"/>
  </mergeCells>
  <hyperlinks>
    <hyperlink ref="B3" r:id="rId1"/>
    <hyperlink ref="B4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8" r:id="rId12"/>
    <hyperlink ref="B19" r:id="rId13"/>
    <hyperlink ref="B17" r:id="rId14"/>
  </hyperlinks>
  <pageMargins left="0.7" right="0.7" top="0.75" bottom="0.75" header="0.3" footer="0.3"/>
  <pageSetup paperSize="9" orientation="portrait" r:id="rId15"/>
  <drawing r:id="rId1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opLeftCell="A49" zoomScale="90" zoomScaleNormal="90" workbookViewId="0">
      <selection activeCell="I55" sqref="I55:J55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1" width="9.109375" style="1"/>
    <col min="12" max="12" width="16.6640625" style="1" hidden="1" customWidth="1"/>
    <col min="13" max="13" width="0" style="1" hidden="1" customWidth="1"/>
    <col min="14" max="16384" width="9.109375" style="1"/>
  </cols>
  <sheetData>
    <row r="1" spans="1:10" ht="39.9" customHeight="1" x14ac:dyDescent="0.3">
      <c r="A1" s="150" t="s">
        <v>1898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ht="30" customHeight="1" x14ac:dyDescent="0.3">
      <c r="A2" s="36"/>
      <c r="B2" s="38" t="s">
        <v>2</v>
      </c>
      <c r="C2" s="4" t="s">
        <v>42</v>
      </c>
      <c r="D2" s="4" t="s">
        <v>43</v>
      </c>
      <c r="E2" s="37" t="s">
        <v>9</v>
      </c>
      <c r="F2" s="37" t="s">
        <v>10</v>
      </c>
      <c r="G2" s="4" t="s">
        <v>11</v>
      </c>
      <c r="H2" s="4" t="s">
        <v>17</v>
      </c>
      <c r="I2" s="4"/>
      <c r="J2" s="4"/>
    </row>
    <row r="3" spans="1:10" ht="24.9" customHeight="1" x14ac:dyDescent="0.3">
      <c r="A3" s="147"/>
      <c r="B3" s="6" t="s">
        <v>264</v>
      </c>
      <c r="C3" s="36" t="s">
        <v>189</v>
      </c>
      <c r="D3" s="36" t="s">
        <v>48</v>
      </c>
      <c r="E3" s="40" t="s">
        <v>961</v>
      </c>
      <c r="F3" s="36" t="s">
        <v>13</v>
      </c>
      <c r="G3" s="36" t="s">
        <v>247</v>
      </c>
      <c r="H3" s="25">
        <v>25200</v>
      </c>
      <c r="I3" s="8"/>
      <c r="J3" s="9"/>
    </row>
    <row r="4" spans="1:10" ht="24.9" customHeight="1" x14ac:dyDescent="0.3">
      <c r="A4" s="147"/>
      <c r="B4" s="6" t="s">
        <v>265</v>
      </c>
      <c r="C4" s="36" t="s">
        <v>241</v>
      </c>
      <c r="D4" s="36" t="s">
        <v>48</v>
      </c>
      <c r="E4" s="40" t="s">
        <v>961</v>
      </c>
      <c r="F4" s="36" t="s">
        <v>13</v>
      </c>
      <c r="G4" s="36" t="s">
        <v>247</v>
      </c>
      <c r="H4" s="25">
        <v>26400</v>
      </c>
      <c r="I4" s="8"/>
      <c r="J4" s="9"/>
    </row>
    <row r="5" spans="1:10" ht="24.9" customHeight="1" x14ac:dyDescent="0.3">
      <c r="A5" s="147"/>
      <c r="B5" s="6" t="s">
        <v>266</v>
      </c>
      <c r="C5" s="36" t="s">
        <v>242</v>
      </c>
      <c r="D5" s="36" t="s">
        <v>48</v>
      </c>
      <c r="E5" s="40" t="s">
        <v>961</v>
      </c>
      <c r="F5" s="36" t="s">
        <v>13</v>
      </c>
      <c r="G5" s="36" t="s">
        <v>247</v>
      </c>
      <c r="H5" s="25">
        <v>27600</v>
      </c>
      <c r="I5" s="8"/>
      <c r="J5" s="9"/>
    </row>
    <row r="6" spans="1:10" ht="24.9" customHeight="1" x14ac:dyDescent="0.3">
      <c r="A6" s="147"/>
      <c r="B6" s="6" t="s">
        <v>267</v>
      </c>
      <c r="C6" s="36" t="s">
        <v>243</v>
      </c>
      <c r="D6" s="36" t="s">
        <v>245</v>
      </c>
      <c r="E6" s="40" t="s">
        <v>961</v>
      </c>
      <c r="F6" s="36" t="s">
        <v>13</v>
      </c>
      <c r="G6" s="36" t="s">
        <v>247</v>
      </c>
      <c r="H6" s="25">
        <v>28800</v>
      </c>
      <c r="I6" s="8"/>
      <c r="J6" s="9"/>
    </row>
    <row r="7" spans="1:10" ht="24.9" customHeight="1" x14ac:dyDescent="0.3">
      <c r="A7" s="147"/>
      <c r="B7" s="6" t="s">
        <v>268</v>
      </c>
      <c r="C7" s="36" t="s">
        <v>54</v>
      </c>
      <c r="D7" s="36" t="s">
        <v>49</v>
      </c>
      <c r="E7" s="40" t="s">
        <v>961</v>
      </c>
      <c r="F7" s="36" t="s">
        <v>13</v>
      </c>
      <c r="G7" s="36" t="s">
        <v>247</v>
      </c>
      <c r="H7" s="25">
        <v>21600</v>
      </c>
      <c r="I7" s="8"/>
      <c r="J7" s="9"/>
    </row>
    <row r="8" spans="1:10" ht="24.9" customHeight="1" x14ac:dyDescent="0.3">
      <c r="A8" s="147"/>
      <c r="B8" s="6" t="s">
        <v>269</v>
      </c>
      <c r="C8" s="36" t="s">
        <v>179</v>
      </c>
      <c r="D8" s="36" t="s">
        <v>49</v>
      </c>
      <c r="E8" s="40" t="s">
        <v>961</v>
      </c>
      <c r="F8" s="36" t="s">
        <v>13</v>
      </c>
      <c r="G8" s="36" t="s">
        <v>262</v>
      </c>
      <c r="H8" s="25">
        <v>26400</v>
      </c>
      <c r="I8" s="8"/>
      <c r="J8" s="9"/>
    </row>
    <row r="9" spans="1:10" ht="24.9" customHeight="1" x14ac:dyDescent="0.3">
      <c r="A9" s="147"/>
      <c r="B9" s="6" t="s">
        <v>270</v>
      </c>
      <c r="C9" s="36" t="s">
        <v>58</v>
      </c>
      <c r="D9" s="36" t="s">
        <v>49</v>
      </c>
      <c r="E9" s="40" t="s">
        <v>961</v>
      </c>
      <c r="F9" s="36" t="s">
        <v>13</v>
      </c>
      <c r="G9" s="36" t="s">
        <v>262</v>
      </c>
      <c r="H9" s="25">
        <v>26400</v>
      </c>
      <c r="I9" s="8"/>
      <c r="J9" s="9"/>
    </row>
    <row r="10" spans="1:10" ht="24.9" customHeight="1" x14ac:dyDescent="0.3">
      <c r="A10" s="147"/>
      <c r="B10" s="6" t="s">
        <v>271</v>
      </c>
      <c r="C10" s="36" t="s">
        <v>183</v>
      </c>
      <c r="D10" s="36" t="s">
        <v>50</v>
      </c>
      <c r="E10" s="40" t="s">
        <v>961</v>
      </c>
      <c r="F10" s="36" t="s">
        <v>13</v>
      </c>
      <c r="G10" s="36" t="s">
        <v>262</v>
      </c>
      <c r="H10" s="30">
        <v>22800</v>
      </c>
      <c r="I10" s="8"/>
      <c r="J10" s="9"/>
    </row>
    <row r="11" spans="1:10" ht="24.9" customHeight="1" x14ac:dyDescent="0.3">
      <c r="A11" s="147"/>
      <c r="B11" s="6" t="s">
        <v>272</v>
      </c>
      <c r="C11" s="36" t="s">
        <v>61</v>
      </c>
      <c r="D11" s="36" t="s">
        <v>50</v>
      </c>
      <c r="E11" s="40" t="s">
        <v>961</v>
      </c>
      <c r="F11" s="36" t="s">
        <v>13</v>
      </c>
      <c r="G11" s="36" t="s">
        <v>263</v>
      </c>
      <c r="H11" s="9">
        <v>54000</v>
      </c>
      <c r="I11" s="8"/>
      <c r="J11" s="9"/>
    </row>
    <row r="12" spans="1:10" ht="24.9" customHeight="1" x14ac:dyDescent="0.3">
      <c r="A12" s="147"/>
      <c r="B12" s="6" t="s">
        <v>273</v>
      </c>
      <c r="C12" s="36" t="s">
        <v>102</v>
      </c>
      <c r="D12" s="36" t="s">
        <v>50</v>
      </c>
      <c r="E12" s="40" t="s">
        <v>961</v>
      </c>
      <c r="F12" s="36" t="s">
        <v>13</v>
      </c>
      <c r="G12" s="36" t="s">
        <v>263</v>
      </c>
      <c r="H12" s="9">
        <v>57600</v>
      </c>
      <c r="I12" s="8"/>
      <c r="J12" s="9"/>
    </row>
    <row r="13" spans="1:10" ht="24.9" customHeight="1" x14ac:dyDescent="0.3">
      <c r="A13" s="147"/>
      <c r="B13" s="6" t="s">
        <v>274</v>
      </c>
      <c r="C13" s="36" t="s">
        <v>261</v>
      </c>
      <c r="D13" s="36" t="s">
        <v>50</v>
      </c>
      <c r="E13" s="40" t="s">
        <v>961</v>
      </c>
      <c r="F13" s="36" t="s">
        <v>13</v>
      </c>
      <c r="G13" s="36" t="s">
        <v>263</v>
      </c>
      <c r="H13" s="9">
        <v>66000</v>
      </c>
      <c r="I13" s="8"/>
      <c r="J13" s="9"/>
    </row>
    <row r="14" spans="1:10" ht="24.9" customHeight="1" x14ac:dyDescent="0.3">
      <c r="A14" s="147"/>
      <c r="B14" s="103" t="s">
        <v>1544</v>
      </c>
      <c r="C14" s="83" t="s">
        <v>261</v>
      </c>
      <c r="D14" s="83" t="s">
        <v>50</v>
      </c>
      <c r="E14" s="83" t="s">
        <v>961</v>
      </c>
      <c r="F14" s="83" t="s">
        <v>13</v>
      </c>
      <c r="G14" s="83" t="s">
        <v>263</v>
      </c>
      <c r="H14" s="9">
        <v>70800</v>
      </c>
      <c r="I14" s="8"/>
      <c r="J14" s="9"/>
    </row>
    <row r="15" spans="1:10" ht="24.9" customHeight="1" x14ac:dyDescent="0.3">
      <c r="A15" s="147"/>
      <c r="B15" s="6" t="s">
        <v>275</v>
      </c>
      <c r="C15" s="36" t="s">
        <v>189</v>
      </c>
      <c r="D15" s="36" t="s">
        <v>48</v>
      </c>
      <c r="E15" s="40" t="s">
        <v>961</v>
      </c>
      <c r="F15" s="36" t="s">
        <v>15</v>
      </c>
      <c r="G15" s="36" t="s">
        <v>247</v>
      </c>
      <c r="H15" s="9">
        <v>33600</v>
      </c>
      <c r="I15" s="8"/>
      <c r="J15" s="9"/>
    </row>
    <row r="16" spans="1:10" ht="24.9" customHeight="1" x14ac:dyDescent="0.3">
      <c r="A16" s="147"/>
      <c r="B16" s="6" t="s">
        <v>276</v>
      </c>
      <c r="C16" s="36" t="s">
        <v>241</v>
      </c>
      <c r="D16" s="36" t="s">
        <v>48</v>
      </c>
      <c r="E16" s="40" t="s">
        <v>961</v>
      </c>
      <c r="F16" s="36" t="s">
        <v>15</v>
      </c>
      <c r="G16" s="36" t="s">
        <v>247</v>
      </c>
      <c r="H16" s="86">
        <v>35400</v>
      </c>
      <c r="I16" s="87"/>
      <c r="J16" s="86"/>
    </row>
    <row r="17" spans="1:12" ht="24.9" customHeight="1" x14ac:dyDescent="0.3">
      <c r="A17" s="147"/>
      <c r="B17" s="6" t="s">
        <v>277</v>
      </c>
      <c r="C17" s="36" t="s">
        <v>242</v>
      </c>
      <c r="D17" s="36" t="s">
        <v>48</v>
      </c>
      <c r="E17" s="40" t="s">
        <v>961</v>
      </c>
      <c r="F17" s="36" t="s">
        <v>15</v>
      </c>
      <c r="G17" s="36" t="s">
        <v>247</v>
      </c>
      <c r="H17" s="86">
        <v>37920</v>
      </c>
      <c r="I17" s="87"/>
      <c r="J17" s="86"/>
    </row>
    <row r="18" spans="1:12" ht="24.9" customHeight="1" x14ac:dyDescent="0.3">
      <c r="A18" s="147"/>
      <c r="B18" s="6" t="s">
        <v>278</v>
      </c>
      <c r="C18" s="36" t="s">
        <v>243</v>
      </c>
      <c r="D18" s="36" t="s">
        <v>245</v>
      </c>
      <c r="E18" s="40" t="s">
        <v>961</v>
      </c>
      <c r="F18" s="36" t="s">
        <v>15</v>
      </c>
      <c r="G18" s="36" t="s">
        <v>247</v>
      </c>
      <c r="H18" s="86">
        <v>37200</v>
      </c>
      <c r="I18" s="87"/>
      <c r="J18" s="86"/>
    </row>
    <row r="19" spans="1:12" ht="24.9" customHeight="1" x14ac:dyDescent="0.3">
      <c r="A19" s="147"/>
      <c r="B19" s="6" t="s">
        <v>279</v>
      </c>
      <c r="C19" s="36" t="s">
        <v>54</v>
      </c>
      <c r="D19" s="36" t="s">
        <v>49</v>
      </c>
      <c r="E19" s="40" t="s">
        <v>961</v>
      </c>
      <c r="F19" s="36" t="s">
        <v>15</v>
      </c>
      <c r="G19" s="36" t="s">
        <v>247</v>
      </c>
      <c r="H19" s="86">
        <v>30000</v>
      </c>
      <c r="I19" s="87"/>
      <c r="J19" s="86"/>
    </row>
    <row r="20" spans="1:12" ht="20.100000000000001" customHeight="1" x14ac:dyDescent="0.3">
      <c r="A20" s="149"/>
      <c r="B20" s="149"/>
      <c r="C20" s="149"/>
      <c r="D20" s="149"/>
      <c r="E20" s="149"/>
      <c r="F20" s="149"/>
      <c r="G20" s="149"/>
      <c r="H20" s="149"/>
      <c r="I20" s="149"/>
      <c r="J20" s="149"/>
    </row>
    <row r="21" spans="1:12" ht="39.9" customHeight="1" x14ac:dyDescent="0.3">
      <c r="A21" s="150" t="s">
        <v>1419</v>
      </c>
      <c r="B21" s="151"/>
      <c r="C21" s="151"/>
      <c r="D21" s="151"/>
      <c r="E21" s="151"/>
      <c r="F21" s="151"/>
      <c r="G21" s="151"/>
      <c r="H21" s="151"/>
      <c r="I21" s="151"/>
      <c r="J21" s="151"/>
    </row>
    <row r="22" spans="1:12" ht="30" customHeight="1" x14ac:dyDescent="0.3">
      <c r="A22" s="36"/>
      <c r="B22" s="37" t="s">
        <v>2</v>
      </c>
      <c r="C22" s="4" t="s">
        <v>42</v>
      </c>
      <c r="D22" s="4" t="s">
        <v>43</v>
      </c>
      <c r="E22" s="37" t="s">
        <v>9</v>
      </c>
      <c r="F22" s="37" t="s">
        <v>10</v>
      </c>
      <c r="G22" s="4" t="s">
        <v>11</v>
      </c>
      <c r="H22" s="4" t="s">
        <v>17</v>
      </c>
      <c r="I22" s="4"/>
      <c r="J22" s="4"/>
    </row>
    <row r="23" spans="1:12" ht="30" customHeight="1" x14ac:dyDescent="0.3">
      <c r="A23" s="147"/>
      <c r="B23" s="6" t="s">
        <v>250</v>
      </c>
      <c r="C23" s="36" t="s">
        <v>189</v>
      </c>
      <c r="D23" s="36" t="s">
        <v>48</v>
      </c>
      <c r="E23" s="36" t="s">
        <v>27</v>
      </c>
      <c r="F23" s="36" t="s">
        <v>15</v>
      </c>
      <c r="G23" s="36" t="s">
        <v>247</v>
      </c>
      <c r="H23" s="9">
        <v>33600</v>
      </c>
      <c r="I23" s="8"/>
      <c r="J23" s="9"/>
    </row>
    <row r="24" spans="1:12" ht="30" customHeight="1" x14ac:dyDescent="0.3">
      <c r="A24" s="147"/>
      <c r="B24" s="6" t="s">
        <v>251</v>
      </c>
      <c r="C24" s="36" t="s">
        <v>241</v>
      </c>
      <c r="D24" s="36" t="s">
        <v>48</v>
      </c>
      <c r="E24" s="36" t="s">
        <v>27</v>
      </c>
      <c r="F24" s="36" t="s">
        <v>15</v>
      </c>
      <c r="G24" s="36" t="s">
        <v>247</v>
      </c>
      <c r="H24" s="86">
        <v>35400</v>
      </c>
      <c r="I24" s="87"/>
      <c r="J24" s="86"/>
    </row>
    <row r="25" spans="1:12" ht="30" customHeight="1" x14ac:dyDescent="0.3">
      <c r="A25" s="147"/>
      <c r="B25" s="6" t="s">
        <v>252</v>
      </c>
      <c r="C25" s="36" t="s">
        <v>242</v>
      </c>
      <c r="D25" s="36" t="s">
        <v>48</v>
      </c>
      <c r="E25" s="36" t="s">
        <v>27</v>
      </c>
      <c r="F25" s="36" t="s">
        <v>15</v>
      </c>
      <c r="G25" s="36" t="s">
        <v>247</v>
      </c>
      <c r="H25" s="86">
        <v>37920</v>
      </c>
      <c r="I25" s="87"/>
      <c r="J25" s="86"/>
    </row>
    <row r="26" spans="1:12" ht="30" customHeight="1" x14ac:dyDescent="0.3">
      <c r="A26" s="147"/>
      <c r="B26" s="6" t="s">
        <v>253</v>
      </c>
      <c r="C26" s="36" t="s">
        <v>243</v>
      </c>
      <c r="D26" s="36" t="s">
        <v>245</v>
      </c>
      <c r="E26" s="36" t="s">
        <v>27</v>
      </c>
      <c r="F26" s="36" t="s">
        <v>15</v>
      </c>
      <c r="G26" s="36" t="s">
        <v>247</v>
      </c>
      <c r="H26" s="86">
        <v>37200</v>
      </c>
      <c r="I26" s="87"/>
      <c r="J26" s="86"/>
      <c r="L26" s="12" t="s">
        <v>1819</v>
      </c>
    </row>
    <row r="27" spans="1:12" ht="30" customHeight="1" x14ac:dyDescent="0.3">
      <c r="A27" s="147"/>
      <c r="B27" s="6" t="s">
        <v>254</v>
      </c>
      <c r="C27" s="36" t="s">
        <v>54</v>
      </c>
      <c r="D27" s="36" t="s">
        <v>49</v>
      </c>
      <c r="E27" s="36" t="s">
        <v>27</v>
      </c>
      <c r="F27" s="36" t="s">
        <v>15</v>
      </c>
      <c r="G27" s="36" t="s">
        <v>247</v>
      </c>
      <c r="H27" s="86">
        <v>30000</v>
      </c>
      <c r="I27" s="87"/>
      <c r="J27" s="86"/>
    </row>
    <row r="28" spans="1:12" ht="30" customHeight="1" x14ac:dyDescent="0.3">
      <c r="A28" s="147"/>
      <c r="B28" s="6" t="s">
        <v>255</v>
      </c>
      <c r="C28" s="36" t="s">
        <v>179</v>
      </c>
      <c r="D28" s="36" t="s">
        <v>49</v>
      </c>
      <c r="E28" s="36" t="s">
        <v>27</v>
      </c>
      <c r="F28" s="36" t="s">
        <v>15</v>
      </c>
      <c r="G28" s="36" t="s">
        <v>262</v>
      </c>
      <c r="H28" s="86">
        <v>34800</v>
      </c>
      <c r="I28" s="87"/>
      <c r="J28" s="86"/>
    </row>
    <row r="29" spans="1:12" ht="30" customHeight="1" x14ac:dyDescent="0.3">
      <c r="A29" s="147"/>
      <c r="B29" s="6" t="s">
        <v>256</v>
      </c>
      <c r="C29" s="36" t="s">
        <v>58</v>
      </c>
      <c r="D29" s="36" t="s">
        <v>49</v>
      </c>
      <c r="E29" s="36" t="s">
        <v>27</v>
      </c>
      <c r="F29" s="36" t="s">
        <v>15</v>
      </c>
      <c r="G29" s="36" t="s">
        <v>262</v>
      </c>
      <c r="H29" s="86">
        <v>37440</v>
      </c>
      <c r="I29" s="87"/>
      <c r="J29" s="86"/>
    </row>
    <row r="30" spans="1:12" ht="30" customHeight="1" x14ac:dyDescent="0.3">
      <c r="A30" s="147"/>
      <c r="B30" s="6" t="s">
        <v>257</v>
      </c>
      <c r="C30" s="36" t="s">
        <v>183</v>
      </c>
      <c r="D30" s="36" t="s">
        <v>50</v>
      </c>
      <c r="E30" s="36" t="s">
        <v>27</v>
      </c>
      <c r="F30" s="36" t="s">
        <v>15</v>
      </c>
      <c r="G30" s="36" t="s">
        <v>262</v>
      </c>
      <c r="H30" s="86">
        <v>32400</v>
      </c>
      <c r="I30" s="87"/>
      <c r="J30" s="86"/>
    </row>
    <row r="31" spans="1:12" ht="30" customHeight="1" x14ac:dyDescent="0.3">
      <c r="A31" s="147"/>
      <c r="B31" s="6" t="s">
        <v>258</v>
      </c>
      <c r="C31" s="36" t="s">
        <v>61</v>
      </c>
      <c r="D31" s="36" t="s">
        <v>50</v>
      </c>
      <c r="E31" s="36" t="s">
        <v>27</v>
      </c>
      <c r="F31" s="36" t="s">
        <v>15</v>
      </c>
      <c r="G31" s="36" t="s">
        <v>263</v>
      </c>
      <c r="H31" s="9">
        <v>75000</v>
      </c>
      <c r="I31" s="8"/>
      <c r="J31" s="9"/>
    </row>
    <row r="32" spans="1:12" ht="30" customHeight="1" x14ac:dyDescent="0.3">
      <c r="A32" s="147"/>
      <c r="B32" s="6" t="s">
        <v>259</v>
      </c>
      <c r="C32" s="36" t="s">
        <v>102</v>
      </c>
      <c r="D32" s="36" t="s">
        <v>50</v>
      </c>
      <c r="E32" s="36" t="s">
        <v>27</v>
      </c>
      <c r="F32" s="36" t="s">
        <v>15</v>
      </c>
      <c r="G32" s="36" t="s">
        <v>263</v>
      </c>
      <c r="H32" s="9">
        <v>76800</v>
      </c>
      <c r="I32" s="8"/>
      <c r="J32" s="9"/>
    </row>
    <row r="33" spans="1:12" ht="30" customHeight="1" x14ac:dyDescent="0.3">
      <c r="A33" s="147"/>
      <c r="B33" s="6" t="s">
        <v>260</v>
      </c>
      <c r="C33" s="36" t="s">
        <v>261</v>
      </c>
      <c r="D33" s="36" t="s">
        <v>50</v>
      </c>
      <c r="E33" s="36" t="s">
        <v>27</v>
      </c>
      <c r="F33" s="36" t="s">
        <v>15</v>
      </c>
      <c r="G33" s="36" t="s">
        <v>263</v>
      </c>
      <c r="H33" s="9">
        <v>84000</v>
      </c>
      <c r="I33" s="8"/>
      <c r="J33" s="9"/>
      <c r="L33" s="12" t="s">
        <v>1820</v>
      </c>
    </row>
    <row r="34" spans="1:12" ht="20.100000000000001" customHeight="1" x14ac:dyDescent="0.3">
      <c r="A34" s="149"/>
      <c r="B34" s="149"/>
      <c r="C34" s="149"/>
      <c r="D34" s="149"/>
      <c r="E34" s="149"/>
      <c r="F34" s="149"/>
      <c r="G34" s="149"/>
      <c r="H34" s="149"/>
      <c r="I34" s="149"/>
      <c r="J34" s="149"/>
    </row>
    <row r="35" spans="1:12" ht="60" customHeight="1" x14ac:dyDescent="0.3">
      <c r="A35" s="150" t="s">
        <v>1420</v>
      </c>
      <c r="B35" s="151"/>
      <c r="C35" s="151"/>
      <c r="D35" s="151"/>
      <c r="E35" s="151"/>
      <c r="F35" s="151"/>
      <c r="G35" s="151"/>
      <c r="H35" s="151"/>
      <c r="I35" s="151"/>
      <c r="J35" s="151"/>
    </row>
    <row r="36" spans="1:12" ht="30" customHeight="1" x14ac:dyDescent="0.3">
      <c r="A36" s="36"/>
      <c r="B36" s="38" t="s">
        <v>2</v>
      </c>
      <c r="C36" s="4" t="s">
        <v>42</v>
      </c>
      <c r="D36" s="4" t="s">
        <v>43</v>
      </c>
      <c r="E36" s="37" t="s">
        <v>9</v>
      </c>
      <c r="F36" s="37" t="s">
        <v>10</v>
      </c>
      <c r="G36" s="4" t="s">
        <v>11</v>
      </c>
      <c r="H36" s="4" t="s">
        <v>17</v>
      </c>
      <c r="I36" s="4"/>
      <c r="J36" s="4"/>
    </row>
    <row r="37" spans="1:12" ht="24.9" customHeight="1" x14ac:dyDescent="0.3">
      <c r="A37" s="147"/>
      <c r="B37" s="72" t="s">
        <v>1899</v>
      </c>
      <c r="C37" s="36" t="s">
        <v>44</v>
      </c>
      <c r="D37" s="36" t="s">
        <v>47</v>
      </c>
      <c r="E37" s="36" t="s">
        <v>14</v>
      </c>
      <c r="F37" s="33" t="s">
        <v>1487</v>
      </c>
      <c r="G37" s="36" t="s">
        <v>249</v>
      </c>
      <c r="H37" s="9">
        <v>98400</v>
      </c>
      <c r="I37" s="8"/>
      <c r="J37" s="9"/>
    </row>
    <row r="38" spans="1:12" ht="24.9" customHeight="1" x14ac:dyDescent="0.3">
      <c r="A38" s="147"/>
      <c r="B38" s="72" t="s">
        <v>1900</v>
      </c>
      <c r="C38" s="36" t="s">
        <v>44</v>
      </c>
      <c r="D38" s="36" t="s">
        <v>47</v>
      </c>
      <c r="E38" s="36" t="s">
        <v>14</v>
      </c>
      <c r="F38" s="33" t="s">
        <v>1487</v>
      </c>
      <c r="G38" s="36" t="s">
        <v>249</v>
      </c>
      <c r="H38" s="9">
        <v>121200</v>
      </c>
      <c r="I38" s="8"/>
      <c r="J38" s="9"/>
    </row>
    <row r="39" spans="1:12" ht="24.9" customHeight="1" x14ac:dyDescent="0.3">
      <c r="A39" s="147"/>
      <c r="B39" s="72" t="s">
        <v>1901</v>
      </c>
      <c r="C39" s="36" t="s">
        <v>44</v>
      </c>
      <c r="D39" s="36" t="s">
        <v>47</v>
      </c>
      <c r="E39" s="36" t="s">
        <v>14</v>
      </c>
      <c r="F39" s="33" t="s">
        <v>1487</v>
      </c>
      <c r="G39" s="36" t="s">
        <v>249</v>
      </c>
      <c r="H39" s="9">
        <v>130800</v>
      </c>
      <c r="I39" s="8"/>
      <c r="J39" s="9"/>
    </row>
    <row r="40" spans="1:12" ht="24.9" customHeight="1" x14ac:dyDescent="0.3">
      <c r="A40" s="147"/>
      <c r="B40" s="72" t="s">
        <v>1902</v>
      </c>
      <c r="C40" s="36" t="s">
        <v>45</v>
      </c>
      <c r="D40" s="36" t="s">
        <v>47</v>
      </c>
      <c r="E40" s="36" t="s">
        <v>14</v>
      </c>
      <c r="F40" s="33" t="s">
        <v>1487</v>
      </c>
      <c r="G40" s="36" t="s">
        <v>249</v>
      </c>
      <c r="H40" s="9">
        <v>105600</v>
      </c>
      <c r="I40" s="8"/>
      <c r="J40" s="9"/>
    </row>
    <row r="41" spans="1:12" ht="24.9" customHeight="1" x14ac:dyDescent="0.3">
      <c r="A41" s="147"/>
      <c r="B41" s="72" t="s">
        <v>1903</v>
      </c>
      <c r="C41" s="36" t="s">
        <v>45</v>
      </c>
      <c r="D41" s="36" t="s">
        <v>47</v>
      </c>
      <c r="E41" s="36" t="s">
        <v>14</v>
      </c>
      <c r="F41" s="33" t="s">
        <v>1487</v>
      </c>
      <c r="G41" s="36" t="s">
        <v>249</v>
      </c>
      <c r="H41" s="9">
        <v>128400</v>
      </c>
      <c r="I41" s="8"/>
      <c r="J41" s="9"/>
    </row>
    <row r="42" spans="1:12" ht="24.9" customHeight="1" x14ac:dyDescent="0.3">
      <c r="A42" s="147"/>
      <c r="B42" s="72" t="s">
        <v>1904</v>
      </c>
      <c r="C42" s="36" t="s">
        <v>45</v>
      </c>
      <c r="D42" s="36" t="s">
        <v>47</v>
      </c>
      <c r="E42" s="36" t="s">
        <v>14</v>
      </c>
      <c r="F42" s="33" t="s">
        <v>1487</v>
      </c>
      <c r="G42" s="36" t="s">
        <v>249</v>
      </c>
      <c r="H42" s="9">
        <v>139200</v>
      </c>
      <c r="I42" s="8"/>
      <c r="J42" s="9"/>
    </row>
    <row r="43" spans="1:12" ht="24.9" customHeight="1" x14ac:dyDescent="0.3">
      <c r="A43" s="147"/>
      <c r="B43" s="72" t="s">
        <v>1905</v>
      </c>
      <c r="C43" s="36" t="s">
        <v>241</v>
      </c>
      <c r="D43" s="36" t="s">
        <v>47</v>
      </c>
      <c r="E43" s="36" t="s">
        <v>14</v>
      </c>
      <c r="F43" s="33" t="s">
        <v>1487</v>
      </c>
      <c r="G43" s="36" t="s">
        <v>249</v>
      </c>
      <c r="H43" s="9">
        <v>110400</v>
      </c>
      <c r="I43" s="8"/>
      <c r="J43" s="9"/>
    </row>
    <row r="44" spans="1:12" ht="24.9" customHeight="1" x14ac:dyDescent="0.3">
      <c r="A44" s="147"/>
      <c r="B44" s="72" t="s">
        <v>1906</v>
      </c>
      <c r="C44" s="36" t="s">
        <v>241</v>
      </c>
      <c r="D44" s="36" t="s">
        <v>47</v>
      </c>
      <c r="E44" s="36" t="s">
        <v>14</v>
      </c>
      <c r="F44" s="33" t="s">
        <v>1487</v>
      </c>
      <c r="G44" s="36" t="s">
        <v>249</v>
      </c>
      <c r="H44" s="9">
        <v>134400</v>
      </c>
      <c r="I44" s="8"/>
      <c r="J44" s="9"/>
    </row>
    <row r="45" spans="1:12" ht="24.9" customHeight="1" x14ac:dyDescent="0.3">
      <c r="A45" s="147"/>
      <c r="B45" s="72" t="s">
        <v>1907</v>
      </c>
      <c r="C45" s="36" t="s">
        <v>241</v>
      </c>
      <c r="D45" s="36" t="s">
        <v>47</v>
      </c>
      <c r="E45" s="36" t="s">
        <v>14</v>
      </c>
      <c r="F45" s="33" t="s">
        <v>1487</v>
      </c>
      <c r="G45" s="36" t="s">
        <v>249</v>
      </c>
      <c r="H45" s="9">
        <v>145200</v>
      </c>
      <c r="I45" s="8"/>
      <c r="J45" s="9"/>
    </row>
    <row r="46" spans="1:12" ht="24.9" customHeight="1" x14ac:dyDescent="0.3">
      <c r="A46" s="147"/>
      <c r="B46" s="72" t="s">
        <v>1908</v>
      </c>
      <c r="C46" s="36" t="s">
        <v>242</v>
      </c>
      <c r="D46" s="36" t="s">
        <v>47</v>
      </c>
      <c r="E46" s="36" t="s">
        <v>14</v>
      </c>
      <c r="F46" s="33" t="s">
        <v>1487</v>
      </c>
      <c r="G46" s="36" t="s">
        <v>249</v>
      </c>
      <c r="H46" s="9">
        <v>123600</v>
      </c>
      <c r="I46" s="8"/>
      <c r="J46" s="9"/>
    </row>
    <row r="47" spans="1:12" ht="24.9" customHeight="1" x14ac:dyDescent="0.3">
      <c r="A47" s="147"/>
      <c r="B47" s="72" t="s">
        <v>1909</v>
      </c>
      <c r="C47" s="36" t="s">
        <v>242</v>
      </c>
      <c r="D47" s="36" t="s">
        <v>47</v>
      </c>
      <c r="E47" s="36" t="s">
        <v>14</v>
      </c>
      <c r="F47" s="33" t="s">
        <v>1487</v>
      </c>
      <c r="G47" s="36" t="s">
        <v>249</v>
      </c>
      <c r="H47" s="9">
        <v>148800</v>
      </c>
      <c r="I47" s="8"/>
      <c r="J47" s="9"/>
    </row>
    <row r="48" spans="1:12" ht="24.9" customHeight="1" x14ac:dyDescent="0.3">
      <c r="A48" s="147"/>
      <c r="B48" s="72" t="s">
        <v>1910</v>
      </c>
      <c r="C48" s="36" t="s">
        <v>242</v>
      </c>
      <c r="D48" s="36" t="s">
        <v>47</v>
      </c>
      <c r="E48" s="36" t="s">
        <v>14</v>
      </c>
      <c r="F48" s="33" t="s">
        <v>1487</v>
      </c>
      <c r="G48" s="36" t="s">
        <v>249</v>
      </c>
      <c r="H48" s="9">
        <v>158400</v>
      </c>
      <c r="I48" s="8"/>
      <c r="J48" s="9"/>
    </row>
    <row r="49" spans="1:10" ht="20.100000000000001" customHeight="1" x14ac:dyDescent="0.3">
      <c r="A49" s="185"/>
      <c r="B49" s="185"/>
      <c r="C49" s="185"/>
      <c r="D49" s="185"/>
      <c r="E49" s="185"/>
      <c r="F49" s="185"/>
      <c r="G49" s="185"/>
      <c r="H49" s="185"/>
      <c r="I49" s="185"/>
      <c r="J49" s="185"/>
    </row>
    <row r="50" spans="1:10" ht="60" customHeight="1" x14ac:dyDescent="0.3">
      <c r="A50" s="150" t="s">
        <v>1911</v>
      </c>
      <c r="B50" s="151"/>
      <c r="C50" s="151"/>
      <c r="D50" s="151"/>
      <c r="E50" s="151"/>
      <c r="F50" s="151"/>
      <c r="G50" s="151"/>
      <c r="H50" s="151"/>
      <c r="I50" s="151"/>
      <c r="J50" s="151"/>
    </row>
    <row r="51" spans="1:10" ht="30" customHeight="1" x14ac:dyDescent="0.3">
      <c r="A51" s="36"/>
      <c r="B51" s="38" t="s">
        <v>2</v>
      </c>
      <c r="C51" s="4" t="s">
        <v>42</v>
      </c>
      <c r="D51" s="4" t="s">
        <v>43</v>
      </c>
      <c r="E51" s="37" t="s">
        <v>9</v>
      </c>
      <c r="F51" s="37" t="s">
        <v>10</v>
      </c>
      <c r="G51" s="4" t="s">
        <v>11</v>
      </c>
      <c r="H51" s="4" t="s">
        <v>17</v>
      </c>
      <c r="I51" s="4"/>
      <c r="J51" s="4"/>
    </row>
    <row r="52" spans="1:10" ht="30" customHeight="1" x14ac:dyDescent="0.3">
      <c r="A52" s="147"/>
      <c r="B52" s="72" t="s">
        <v>1912</v>
      </c>
      <c r="C52" s="36" t="s">
        <v>191</v>
      </c>
      <c r="D52" s="36" t="s">
        <v>48</v>
      </c>
      <c r="E52" s="36" t="s">
        <v>14</v>
      </c>
      <c r="F52" s="36" t="s">
        <v>15</v>
      </c>
      <c r="G52" s="36" t="s">
        <v>128</v>
      </c>
      <c r="H52" s="9">
        <v>135600</v>
      </c>
      <c r="I52" s="8"/>
      <c r="J52" s="9"/>
    </row>
    <row r="53" spans="1:10" ht="30" customHeight="1" x14ac:dyDescent="0.3">
      <c r="A53" s="147"/>
      <c r="B53" s="72" t="s">
        <v>1913</v>
      </c>
      <c r="C53" s="36" t="s">
        <v>191</v>
      </c>
      <c r="D53" s="36" t="s">
        <v>48</v>
      </c>
      <c r="E53" s="36" t="s">
        <v>14</v>
      </c>
      <c r="F53" s="36" t="s">
        <v>15</v>
      </c>
      <c r="G53" s="36" t="s">
        <v>128</v>
      </c>
      <c r="H53" s="9">
        <v>145200</v>
      </c>
      <c r="I53" s="8"/>
      <c r="J53" s="9"/>
    </row>
    <row r="54" spans="1:10" ht="30" customHeight="1" x14ac:dyDescent="0.3">
      <c r="A54" s="147"/>
      <c r="B54" s="72" t="s">
        <v>1914</v>
      </c>
      <c r="C54" s="36" t="s">
        <v>57</v>
      </c>
      <c r="D54" s="36" t="s">
        <v>48</v>
      </c>
      <c r="E54" s="36" t="s">
        <v>14</v>
      </c>
      <c r="F54" s="36" t="s">
        <v>15</v>
      </c>
      <c r="G54" s="36" t="s">
        <v>128</v>
      </c>
      <c r="H54" s="9">
        <v>148800</v>
      </c>
      <c r="I54" s="8"/>
      <c r="J54" s="9"/>
    </row>
    <row r="55" spans="1:10" ht="30" customHeight="1" x14ac:dyDescent="0.3">
      <c r="A55" s="147"/>
      <c r="B55" s="72" t="s">
        <v>1915</v>
      </c>
      <c r="C55" s="36" t="s">
        <v>57</v>
      </c>
      <c r="D55" s="36" t="s">
        <v>48</v>
      </c>
      <c r="E55" s="36" t="s">
        <v>14</v>
      </c>
      <c r="F55" s="36" t="s">
        <v>15</v>
      </c>
      <c r="G55" s="36" t="s">
        <v>128</v>
      </c>
      <c r="H55" s="9">
        <v>158400</v>
      </c>
      <c r="I55" s="8"/>
      <c r="J55" s="9"/>
    </row>
  </sheetData>
  <mergeCells count="11">
    <mergeCell ref="A1:J1"/>
    <mergeCell ref="A3:A19"/>
    <mergeCell ref="A20:J20"/>
    <mergeCell ref="A21:J21"/>
    <mergeCell ref="A50:J50"/>
    <mergeCell ref="A52:A55"/>
    <mergeCell ref="A23:A33"/>
    <mergeCell ref="A34:J34"/>
    <mergeCell ref="A35:J35"/>
    <mergeCell ref="A37:A48"/>
    <mergeCell ref="A49:J49"/>
  </mergeCells>
  <hyperlinks>
    <hyperlink ref="B7" r:id="rId1"/>
    <hyperlink ref="B3" r:id="rId2"/>
    <hyperlink ref="B10" r:id="rId3"/>
    <hyperlink ref="B4" r:id="rId4"/>
    <hyperlink ref="B8" r:id="rId5"/>
    <hyperlink ref="B5" r:id="rId6"/>
    <hyperlink ref="B9" r:id="rId7"/>
    <hyperlink ref="B6" r:id="rId8"/>
    <hyperlink ref="B11" r:id="rId9"/>
    <hyperlink ref="B12" r:id="rId10"/>
    <hyperlink ref="B13" r:id="rId11"/>
    <hyperlink ref="B15" r:id="rId12"/>
    <hyperlink ref="B16" r:id="rId13"/>
    <hyperlink ref="B17" r:id="rId14"/>
    <hyperlink ref="B18" r:id="rId15"/>
    <hyperlink ref="B19" r:id="rId16"/>
    <hyperlink ref="B27" r:id="rId17"/>
    <hyperlink ref="B23" r:id="rId18"/>
    <hyperlink ref="B24" r:id="rId19"/>
    <hyperlink ref="B25" r:id="rId20"/>
    <hyperlink ref="B26" r:id="rId21"/>
    <hyperlink ref="B28" r:id="rId22"/>
    <hyperlink ref="B29" r:id="rId23"/>
    <hyperlink ref="B30" r:id="rId24"/>
    <hyperlink ref="B31" r:id="rId25"/>
    <hyperlink ref="B32" r:id="rId26"/>
    <hyperlink ref="B33" r:id="rId27"/>
    <hyperlink ref="B14" r:id="rId28"/>
    <hyperlink ref="B37" r:id="rId29" display="АВ60М-01А"/>
    <hyperlink ref="B40" r:id="rId30" display="АВ120М-01А"/>
    <hyperlink ref="B43" r:id="rId31" display="АВ210М-01А"/>
    <hyperlink ref="B46" r:id="rId32"/>
    <hyperlink ref="B38" r:id="rId33"/>
    <hyperlink ref="B41" r:id="rId34"/>
    <hyperlink ref="B44" r:id="rId35"/>
    <hyperlink ref="B47" r:id="rId36"/>
    <hyperlink ref="B39" r:id="rId37"/>
    <hyperlink ref="B42" r:id="rId38"/>
    <hyperlink ref="B45" r:id="rId39"/>
    <hyperlink ref="B48" r:id="rId40"/>
    <hyperlink ref="B52" r:id="rId41"/>
    <hyperlink ref="B53" r:id="rId42"/>
    <hyperlink ref="B54" r:id="rId43"/>
    <hyperlink ref="B55" r:id="rId44"/>
  </hyperlinks>
  <pageMargins left="0.7" right="0.7" top="0.75" bottom="0.75" header="0.3" footer="0.3"/>
  <pageSetup paperSize="9" orientation="portrait" r:id="rId45"/>
  <drawing r:id="rId4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I11" sqref="I11:J17"/>
    </sheetView>
  </sheetViews>
  <sheetFormatPr defaultColWidth="9.109375" defaultRowHeight="13.8" x14ac:dyDescent="0.3"/>
  <cols>
    <col min="1" max="1" width="23.33203125" style="1" customWidth="1"/>
    <col min="2" max="2" width="15.6640625" style="1" customWidth="1"/>
    <col min="3" max="4" width="20.6640625" style="1" customWidth="1"/>
    <col min="5" max="5" width="18" style="1" customWidth="1"/>
    <col min="6" max="6" width="17.5546875" style="1" customWidth="1"/>
    <col min="7" max="7" width="15.44140625" style="1" customWidth="1"/>
    <col min="8" max="10" width="15.6640625" style="1" customWidth="1"/>
    <col min="11" max="16384" width="9.109375" style="1"/>
  </cols>
  <sheetData>
    <row r="1" spans="1:10" ht="30" customHeight="1" x14ac:dyDescent="0.3">
      <c r="A1" s="140" t="s">
        <v>883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ht="30" customHeight="1" x14ac:dyDescent="0.3">
      <c r="A2" s="5"/>
      <c r="B2" s="3" t="s">
        <v>2</v>
      </c>
      <c r="C2" s="4" t="s">
        <v>42</v>
      </c>
      <c r="D2" s="4" t="s">
        <v>43</v>
      </c>
      <c r="E2" s="3" t="s">
        <v>9</v>
      </c>
      <c r="F2" s="3" t="s">
        <v>10</v>
      </c>
      <c r="G2" s="4" t="s">
        <v>11</v>
      </c>
      <c r="H2" s="4" t="s">
        <v>17</v>
      </c>
      <c r="I2" s="4"/>
      <c r="J2" s="4"/>
    </row>
    <row r="3" spans="1:10" ht="24.9" customHeight="1" x14ac:dyDescent="0.3">
      <c r="A3" s="147"/>
      <c r="B3" s="6" t="s">
        <v>884</v>
      </c>
      <c r="C3" s="5" t="s">
        <v>66</v>
      </c>
      <c r="D3" s="5" t="s">
        <v>486</v>
      </c>
      <c r="E3" s="5" t="s">
        <v>224</v>
      </c>
      <c r="F3" s="5" t="s">
        <v>13</v>
      </c>
      <c r="G3" s="15" t="s">
        <v>568</v>
      </c>
      <c r="H3" s="31">
        <v>10940</v>
      </c>
      <c r="I3" s="8"/>
      <c r="J3" s="9"/>
    </row>
    <row r="4" spans="1:10" ht="24.9" customHeight="1" x14ac:dyDescent="0.3">
      <c r="A4" s="147"/>
      <c r="B4" s="6" t="s">
        <v>885</v>
      </c>
      <c r="C4" s="5" t="s">
        <v>534</v>
      </c>
      <c r="D4" s="5" t="s">
        <v>711</v>
      </c>
      <c r="E4" s="5" t="s">
        <v>224</v>
      </c>
      <c r="F4" s="5" t="s">
        <v>13</v>
      </c>
      <c r="G4" s="15" t="s">
        <v>568</v>
      </c>
      <c r="H4" s="31">
        <v>10940</v>
      </c>
      <c r="I4" s="8"/>
      <c r="J4" s="9"/>
    </row>
    <row r="5" spans="1:10" ht="24.9" customHeight="1" x14ac:dyDescent="0.3">
      <c r="A5" s="147"/>
      <c r="B5" s="6" t="s">
        <v>886</v>
      </c>
      <c r="C5" s="5" t="s">
        <v>534</v>
      </c>
      <c r="D5" s="5" t="s">
        <v>711</v>
      </c>
      <c r="E5" s="5" t="s">
        <v>224</v>
      </c>
      <c r="F5" s="5" t="s">
        <v>13</v>
      </c>
      <c r="G5" s="15" t="s">
        <v>890</v>
      </c>
      <c r="H5" s="31">
        <v>13330</v>
      </c>
      <c r="I5" s="8"/>
      <c r="J5" s="9"/>
    </row>
    <row r="6" spans="1:10" ht="24.9" customHeight="1" x14ac:dyDescent="0.3">
      <c r="A6" s="147"/>
      <c r="B6" s="6" t="s">
        <v>887</v>
      </c>
      <c r="C6" s="5" t="s">
        <v>570</v>
      </c>
      <c r="D6" s="5" t="s">
        <v>716</v>
      </c>
      <c r="E6" s="5" t="s">
        <v>224</v>
      </c>
      <c r="F6" s="5" t="s">
        <v>13</v>
      </c>
      <c r="G6" s="15" t="s">
        <v>890</v>
      </c>
      <c r="H6" s="31">
        <v>13330</v>
      </c>
      <c r="I6" s="8"/>
      <c r="J6" s="9"/>
    </row>
    <row r="7" spans="1:10" ht="24.9" customHeight="1" x14ac:dyDescent="0.3">
      <c r="A7" s="147"/>
      <c r="B7" s="6" t="s">
        <v>888</v>
      </c>
      <c r="C7" s="5" t="s">
        <v>570</v>
      </c>
      <c r="D7" s="5" t="s">
        <v>716</v>
      </c>
      <c r="E7" s="5" t="s">
        <v>224</v>
      </c>
      <c r="F7" s="5" t="s">
        <v>13</v>
      </c>
      <c r="G7" s="15" t="s">
        <v>789</v>
      </c>
      <c r="H7" s="31">
        <v>18100</v>
      </c>
      <c r="I7" s="8"/>
      <c r="J7" s="9"/>
    </row>
    <row r="8" spans="1:10" ht="24.9" customHeight="1" x14ac:dyDescent="0.3">
      <c r="A8" s="147"/>
      <c r="B8" s="6" t="s">
        <v>889</v>
      </c>
      <c r="C8" s="5" t="s">
        <v>710</v>
      </c>
      <c r="D8" s="5" t="s">
        <v>195</v>
      </c>
      <c r="E8" s="5" t="s">
        <v>224</v>
      </c>
      <c r="F8" s="5" t="s">
        <v>13</v>
      </c>
      <c r="G8" s="15" t="s">
        <v>789</v>
      </c>
      <c r="H8" s="31">
        <v>18100</v>
      </c>
      <c r="I8" s="8"/>
      <c r="J8" s="9"/>
    </row>
    <row r="9" spans="1:10" ht="20.100000000000001" customHeight="1" x14ac:dyDescent="0.3">
      <c r="A9" s="185"/>
      <c r="B9" s="185"/>
      <c r="C9" s="185"/>
      <c r="D9" s="185"/>
      <c r="E9" s="185"/>
      <c r="F9" s="185"/>
      <c r="G9" s="185"/>
      <c r="H9" s="185"/>
      <c r="I9" s="185"/>
      <c r="J9" s="185"/>
    </row>
    <row r="10" spans="1:10" ht="30" customHeight="1" x14ac:dyDescent="0.3">
      <c r="A10" s="140" t="s">
        <v>891</v>
      </c>
      <c r="B10" s="140"/>
      <c r="C10" s="140"/>
      <c r="D10" s="140"/>
      <c r="E10" s="140"/>
      <c r="F10" s="140"/>
      <c r="G10" s="140"/>
      <c r="H10" s="140"/>
      <c r="I10" s="140"/>
      <c r="J10" s="140"/>
    </row>
    <row r="11" spans="1:10" ht="30" customHeight="1" x14ac:dyDescent="0.3">
      <c r="A11" s="5"/>
      <c r="B11" s="3" t="s">
        <v>2</v>
      </c>
      <c r="C11" s="4" t="s">
        <v>42</v>
      </c>
      <c r="D11" s="4" t="s">
        <v>43</v>
      </c>
      <c r="E11" s="3" t="s">
        <v>9</v>
      </c>
      <c r="F11" s="3" t="s">
        <v>10</v>
      </c>
      <c r="G11" s="4" t="s">
        <v>11</v>
      </c>
      <c r="H11" s="4" t="s">
        <v>17</v>
      </c>
      <c r="I11" s="4"/>
      <c r="J11" s="4"/>
    </row>
    <row r="12" spans="1:10" ht="24.9" customHeight="1" x14ac:dyDescent="0.3">
      <c r="A12" s="147"/>
      <c r="B12" s="6" t="s">
        <v>892</v>
      </c>
      <c r="C12" s="5" t="s">
        <v>66</v>
      </c>
      <c r="D12" s="5" t="s">
        <v>486</v>
      </c>
      <c r="E12" s="5" t="s">
        <v>224</v>
      </c>
      <c r="F12" s="5" t="s">
        <v>13</v>
      </c>
      <c r="G12" s="15" t="s">
        <v>568</v>
      </c>
      <c r="H12" s="31">
        <v>29900</v>
      </c>
      <c r="I12" s="8"/>
      <c r="J12" s="9"/>
    </row>
    <row r="13" spans="1:10" ht="24.9" customHeight="1" x14ac:dyDescent="0.3">
      <c r="A13" s="147"/>
      <c r="B13" s="6" t="s">
        <v>893</v>
      </c>
      <c r="C13" s="5" t="s">
        <v>534</v>
      </c>
      <c r="D13" s="5" t="s">
        <v>711</v>
      </c>
      <c r="E13" s="5" t="s">
        <v>224</v>
      </c>
      <c r="F13" s="5" t="s">
        <v>13</v>
      </c>
      <c r="G13" s="15" t="s">
        <v>568</v>
      </c>
      <c r="H13" s="31">
        <v>29900</v>
      </c>
      <c r="I13" s="8"/>
      <c r="J13" s="9"/>
    </row>
    <row r="14" spans="1:10" ht="24.9" customHeight="1" x14ac:dyDescent="0.3">
      <c r="A14" s="147"/>
      <c r="B14" s="6" t="s">
        <v>894</v>
      </c>
      <c r="C14" s="5" t="s">
        <v>534</v>
      </c>
      <c r="D14" s="5" t="s">
        <v>711</v>
      </c>
      <c r="E14" s="5" t="s">
        <v>224</v>
      </c>
      <c r="F14" s="5" t="s">
        <v>13</v>
      </c>
      <c r="G14" s="15" t="s">
        <v>890</v>
      </c>
      <c r="H14" s="31">
        <v>43100</v>
      </c>
      <c r="I14" s="8"/>
      <c r="J14" s="9"/>
    </row>
    <row r="15" spans="1:10" ht="24.9" customHeight="1" x14ac:dyDescent="0.3">
      <c r="A15" s="147"/>
      <c r="B15" s="6" t="s">
        <v>895</v>
      </c>
      <c r="C15" s="5" t="s">
        <v>570</v>
      </c>
      <c r="D15" s="5" t="s">
        <v>716</v>
      </c>
      <c r="E15" s="5" t="s">
        <v>224</v>
      </c>
      <c r="F15" s="5" t="s">
        <v>13</v>
      </c>
      <c r="G15" s="15" t="s">
        <v>890</v>
      </c>
      <c r="H15" s="31">
        <v>43100</v>
      </c>
      <c r="I15" s="8"/>
      <c r="J15" s="9"/>
    </row>
    <row r="16" spans="1:10" ht="24.9" customHeight="1" x14ac:dyDescent="0.3">
      <c r="A16" s="147"/>
      <c r="B16" s="6" t="s">
        <v>896</v>
      </c>
      <c r="C16" s="5" t="s">
        <v>570</v>
      </c>
      <c r="D16" s="5" t="s">
        <v>716</v>
      </c>
      <c r="E16" s="5" t="s">
        <v>224</v>
      </c>
      <c r="F16" s="5" t="s">
        <v>13</v>
      </c>
      <c r="G16" s="15" t="s">
        <v>789</v>
      </c>
      <c r="H16" s="31">
        <v>60300</v>
      </c>
      <c r="I16" s="8"/>
      <c r="J16" s="9"/>
    </row>
    <row r="17" spans="1:10" ht="24.9" customHeight="1" x14ac:dyDescent="0.3">
      <c r="A17" s="147"/>
      <c r="B17" s="6" t="s">
        <v>897</v>
      </c>
      <c r="C17" s="5" t="s">
        <v>710</v>
      </c>
      <c r="D17" s="5" t="s">
        <v>195</v>
      </c>
      <c r="E17" s="5" t="s">
        <v>224</v>
      </c>
      <c r="F17" s="5" t="s">
        <v>13</v>
      </c>
      <c r="G17" s="15" t="s">
        <v>789</v>
      </c>
      <c r="H17" s="31">
        <v>60300</v>
      </c>
      <c r="I17" s="8"/>
      <c r="J17" s="9"/>
    </row>
    <row r="18" spans="1:10" ht="20.100000000000001" customHeight="1" x14ac:dyDescent="0.3">
      <c r="A18" s="185"/>
      <c r="B18" s="185"/>
      <c r="C18" s="185"/>
      <c r="D18" s="185"/>
      <c r="E18" s="185"/>
      <c r="F18" s="185"/>
      <c r="G18" s="185"/>
      <c r="H18" s="185"/>
      <c r="I18" s="185"/>
      <c r="J18" s="185"/>
    </row>
  </sheetData>
  <mergeCells count="6">
    <mergeCell ref="A9:J9"/>
    <mergeCell ref="A10:J10"/>
    <mergeCell ref="A12:A17"/>
    <mergeCell ref="A18:J18"/>
    <mergeCell ref="A1:J1"/>
    <mergeCell ref="A3:A8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12" r:id="rId7"/>
    <hyperlink ref="B13" r:id="rId8"/>
    <hyperlink ref="B14" r:id="rId9"/>
    <hyperlink ref="B15" r:id="rId10"/>
    <hyperlink ref="B16" r:id="rId11"/>
    <hyperlink ref="B17" r:id="rId12"/>
  </hyperlinks>
  <pageMargins left="0.7" right="0.7" top="0.75" bottom="0.75" header="0.3" footer="0.3"/>
  <pageSetup paperSize="9" orientation="portrait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4</vt:i4>
      </vt:variant>
    </vt:vector>
  </HeadingPairs>
  <TitlesOfParts>
    <vt:vector size="21" baseType="lpstr">
      <vt:lpstr>Курсы валют</vt:lpstr>
      <vt:lpstr>ДЭМКОМ</vt:lpstr>
      <vt:lpstr>BEL</vt:lpstr>
      <vt:lpstr>ACZET (Citizen)</vt:lpstr>
      <vt:lpstr>OHAUS</vt:lpstr>
      <vt:lpstr>ГОСМЕТР</vt:lpstr>
      <vt:lpstr>AND</vt:lpstr>
      <vt:lpstr>МАССА-К</vt:lpstr>
      <vt:lpstr>Shinko (ViBRA)</vt:lpstr>
      <vt:lpstr>CAS</vt:lpstr>
      <vt:lpstr>ADAM</vt:lpstr>
      <vt:lpstr>Acom</vt:lpstr>
      <vt:lpstr>SARTORIUS</vt:lpstr>
      <vt:lpstr>МАС-центр</vt:lpstr>
      <vt:lpstr>САРТОГОСМ</vt:lpstr>
      <vt:lpstr>ВЕСТА</vt:lpstr>
      <vt:lpstr>СКЕЙЛ</vt:lpstr>
      <vt:lpstr>'МАС-центр'!EUR</vt:lpstr>
      <vt:lpstr>EUR</vt:lpstr>
      <vt:lpstr>'МАС-центр'!USD</vt:lpstr>
      <vt:lpstr>USD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vzspn</cp:lastModifiedBy>
  <dcterms:created xsi:type="dcterms:W3CDTF">2014-04-05T16:14:03Z</dcterms:created>
  <dcterms:modified xsi:type="dcterms:W3CDTF">2021-02-05T08:56:38Z</dcterms:modified>
</cp:coreProperties>
</file>