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425" windowWidth="15375" windowHeight="3375" tabRatio="854" activeTab="12"/>
  </bookViews>
  <sheets>
    <sheet name="Курсы валют" sheetId="1" r:id="rId1"/>
    <sheet name="BEL" sheetId="23" r:id="rId2"/>
    <sheet name="ДЭМКОМ" sheetId="20" r:id="rId3"/>
    <sheet name="Aczet (Citizen)" sheetId="2" r:id="rId4"/>
    <sheet name="Ohaus" sheetId="12" r:id="rId5"/>
    <sheet name="Shinko (ViBRA)" sheetId="4" r:id="rId6"/>
    <sheet name="CAS" sheetId="13" r:id="rId7"/>
    <sheet name="ADAM" sheetId="5" r:id="rId8"/>
    <sheet name="Acom" sheetId="6" r:id="rId9"/>
    <sheet name="Sartorius" sheetId="14" r:id="rId10"/>
    <sheet name="AND" sheetId="26" r:id="rId11"/>
    <sheet name="Госметр" sheetId="25" r:id="rId12"/>
    <sheet name="МАССА-К" sheetId="10" r:id="rId13"/>
    <sheet name="МАС-центр" sheetId="24" r:id="rId14"/>
    <sheet name="Сартогосм" sheetId="9" r:id="rId15"/>
    <sheet name="Веста" sheetId="18" r:id="rId16"/>
    <sheet name="Скейл" sheetId="15" r:id="rId17"/>
  </sheets>
  <externalReferences>
    <externalReference r:id="rId18"/>
    <externalReference r:id="rId19"/>
  </externalReferences>
  <definedNames>
    <definedName name="e" localSheetId="10">#REF!</definedName>
    <definedName name="e" localSheetId="11">#REF!</definedName>
    <definedName name="e" localSheetId="13">#REF!</definedName>
    <definedName name="e">#REF!</definedName>
    <definedName name="EUR" localSheetId="10">'[1]Курсы валют'!$B$3</definedName>
    <definedName name="EUR" localSheetId="15">'[1]Курсы валют'!$B$3</definedName>
    <definedName name="EUR" localSheetId="11">'[2]Курсы валют'!$B$3</definedName>
    <definedName name="EUR" localSheetId="13">'Курсы валют'!$B$3</definedName>
    <definedName name="EUR">'Курсы валют'!$B$3</definedName>
    <definedName name="USD" localSheetId="10">'[1]Курсы валют'!$B$4</definedName>
    <definedName name="USD" localSheetId="15">'[1]Курсы валют'!$B$4</definedName>
    <definedName name="USD" localSheetId="11">'[2]Курсы валют'!$B$4</definedName>
    <definedName name="USD" localSheetId="13">'Курсы валют'!$B$4</definedName>
    <definedName name="USD">'Курсы валют'!$B$4</definedName>
    <definedName name="USD_1" localSheetId="10">'[1]Курсы валют'!$B$7</definedName>
    <definedName name="USD_1" localSheetId="15">'[1]Курсы валют'!$B$7</definedName>
    <definedName name="USD_1" localSheetId="11">'[2]Курсы валют'!$B$7</definedName>
    <definedName name="USD_1">'Курсы валют'!#REF!</definedName>
    <definedName name="USD_2" localSheetId="10">'[1]Курсы валют'!$B$8</definedName>
    <definedName name="USD_2" localSheetId="1">'Курсы валют'!#REF!</definedName>
    <definedName name="USD_2" localSheetId="15">'[1]Курсы валют'!$B$8</definedName>
    <definedName name="USD_2" localSheetId="11">'[2]Курсы валют'!$B$8</definedName>
    <definedName name="USD_2" localSheetId="2">'Курсы валют'!#REF!</definedName>
    <definedName name="USD_2" localSheetId="13">'Курсы валют'!#REF!</definedName>
    <definedName name="USD_2">'Курсы валют'!#REF!</definedName>
    <definedName name="у">#REF!</definedName>
  </definedNames>
  <calcPr calcId="145621"/>
</workbook>
</file>

<file path=xl/calcChain.xml><?xml version="1.0" encoding="utf-8"?>
<calcChain xmlns="http://schemas.openxmlformats.org/spreadsheetml/2006/main">
  <c r="J111" i="25" l="1"/>
  <c r="J112" i="25"/>
  <c r="J113" i="25"/>
  <c r="J114" i="25"/>
  <c r="J115" i="25"/>
  <c r="J116" i="25"/>
  <c r="J110" i="25"/>
  <c r="J11" i="20" l="1"/>
  <c r="J14" i="20" l="1"/>
  <c r="J6" i="20" l="1"/>
  <c r="J89" i="24" l="1"/>
  <c r="J90" i="24"/>
  <c r="J91" i="24"/>
  <c r="J92" i="24"/>
  <c r="J93" i="24"/>
  <c r="J88" i="2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J390" i="4" l="1"/>
  <c r="H388" i="4"/>
  <c r="H385" i="4"/>
  <c r="H382" i="4"/>
  <c r="H378" i="4"/>
  <c r="J378" i="4" s="1"/>
  <c r="J377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J172" i="4"/>
  <c r="H166" i="4"/>
  <c r="H161" i="4"/>
  <c r="J161" i="4" s="1"/>
  <c r="H160" i="4"/>
  <c r="J160" i="4" s="1"/>
  <c r="H159" i="4"/>
  <c r="J159" i="4" s="1"/>
  <c r="H158" i="4"/>
  <c r="J158" i="4" s="1"/>
  <c r="H157" i="4"/>
  <c r="J157" i="4" s="1"/>
  <c r="H156" i="4"/>
  <c r="J156" i="4" s="1"/>
  <c r="H155" i="4"/>
  <c r="J155" i="4" s="1"/>
  <c r="H154" i="4"/>
  <c r="J154" i="4" s="1"/>
  <c r="H153" i="4"/>
  <c r="J153" i="4" s="1"/>
  <c r="H152" i="4"/>
  <c r="J152" i="4" s="1"/>
  <c r="H151" i="4"/>
  <c r="J151" i="4" s="1"/>
  <c r="H150" i="4"/>
  <c r="J150" i="4" s="1"/>
  <c r="H149" i="4"/>
  <c r="J149" i="4" s="1"/>
  <c r="H148" i="4"/>
  <c r="J148" i="4" s="1"/>
  <c r="H147" i="4"/>
  <c r="J147" i="4" s="1"/>
  <c r="H146" i="4"/>
  <c r="J146" i="4" s="1"/>
  <c r="H145" i="4"/>
  <c r="J145" i="4" s="1"/>
  <c r="H144" i="4"/>
  <c r="J144" i="4" s="1"/>
  <c r="H143" i="4"/>
  <c r="J13" i="20" l="1"/>
  <c r="J69" i="25"/>
  <c r="J3" i="20" l="1"/>
  <c r="H326" i="13" l="1"/>
  <c r="J12" i="20"/>
  <c r="J36" i="24" l="1"/>
  <c r="J37" i="24"/>
  <c r="J38" i="24"/>
  <c r="J35" i="24"/>
  <c r="J25" i="25"/>
  <c r="J142" i="26"/>
  <c r="J62" i="25"/>
  <c r="J76" i="26" l="1"/>
  <c r="J209" i="26"/>
  <c r="J113" i="26" l="1"/>
  <c r="J13" i="25"/>
  <c r="J12" i="25"/>
  <c r="J21" i="25"/>
  <c r="J20" i="25"/>
  <c r="J19" i="25"/>
  <c r="J18" i="25"/>
  <c r="J17" i="25"/>
  <c r="J16" i="25"/>
  <c r="J15" i="25"/>
  <c r="J11" i="25"/>
  <c r="J10" i="25"/>
  <c r="J9" i="25"/>
  <c r="J39" i="25"/>
  <c r="J40" i="25"/>
  <c r="J41" i="25"/>
  <c r="J42" i="25"/>
  <c r="J43" i="25"/>
  <c r="J38" i="25"/>
  <c r="J51" i="25"/>
  <c r="J50" i="25"/>
  <c r="J49" i="25"/>
  <c r="J48" i="25"/>
  <c r="J47" i="25"/>
  <c r="J46" i="25"/>
  <c r="J45" i="25"/>
  <c r="J20" i="20"/>
  <c r="J11" i="18" l="1"/>
  <c r="J92" i="25" l="1"/>
  <c r="J55" i="26" l="1"/>
  <c r="J9" i="20" l="1"/>
  <c r="J4" i="20" l="1"/>
  <c r="J56" i="26" l="1"/>
  <c r="J26" i="25" l="1"/>
  <c r="H389" i="4" l="1"/>
  <c r="J388" i="4"/>
  <c r="H387" i="4"/>
  <c r="J387" i="4" s="1"/>
  <c r="H386" i="4"/>
  <c r="J386" i="4" s="1"/>
  <c r="H384" i="4"/>
  <c r="J384" i="4" s="1"/>
  <c r="H383" i="4"/>
  <c r="J383" i="4" s="1"/>
  <c r="J382" i="4"/>
  <c r="H381" i="4"/>
  <c r="J381" i="4" s="1"/>
  <c r="H380" i="4"/>
  <c r="J380" i="4" s="1"/>
  <c r="J376" i="4"/>
  <c r="H379" i="4"/>
  <c r="J379" i="4" s="1"/>
  <c r="H331" i="4"/>
  <c r="H330" i="4"/>
  <c r="H316" i="4"/>
  <c r="H315" i="4"/>
  <c r="H311" i="4"/>
  <c r="H310" i="4"/>
  <c r="H307" i="4"/>
  <c r="H326" i="4"/>
  <c r="H325" i="4"/>
  <c r="H324" i="4"/>
  <c r="H323" i="4"/>
  <c r="H320" i="4"/>
  <c r="H319" i="4"/>
  <c r="H318" i="4"/>
  <c r="H317" i="4"/>
  <c r="J298" i="4"/>
  <c r="J291" i="4"/>
  <c r="H303" i="4"/>
  <c r="J303" i="4" s="1"/>
  <c r="H302" i="4"/>
  <c r="J302" i="4" s="1"/>
  <c r="H301" i="4"/>
  <c r="J301" i="4" s="1"/>
  <c r="H300" i="4"/>
  <c r="J300" i="4" s="1"/>
  <c r="H297" i="4"/>
  <c r="J297" i="4" s="1"/>
  <c r="H296" i="4"/>
  <c r="J296" i="4" s="1"/>
  <c r="H295" i="4"/>
  <c r="J295" i="4" s="1"/>
  <c r="H294" i="4"/>
  <c r="J294" i="4" s="1"/>
  <c r="H293" i="4"/>
  <c r="J293" i="4" s="1"/>
  <c r="H292" i="4"/>
  <c r="J292" i="4" s="1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6" i="4"/>
  <c r="H265" i="4"/>
  <c r="H264" i="4"/>
  <c r="J264" i="4" s="1"/>
  <c r="H263" i="4"/>
  <c r="J263" i="4" s="1"/>
  <c r="H262" i="4"/>
  <c r="J262" i="4" s="1"/>
  <c r="H259" i="4"/>
  <c r="H258" i="4"/>
  <c r="J258" i="4" s="1"/>
  <c r="H257" i="4"/>
  <c r="J257" i="4" s="1"/>
  <c r="H256" i="4"/>
  <c r="J256" i="4" s="1"/>
  <c r="J259" i="4"/>
  <c r="J261" i="4"/>
  <c r="J255" i="4"/>
  <c r="H253" i="4"/>
  <c r="J253" i="4" s="1"/>
  <c r="H252" i="4"/>
  <c r="J252" i="4" s="1"/>
  <c r="H251" i="4"/>
  <c r="J251" i="4" s="1"/>
  <c r="H250" i="4"/>
  <c r="J250" i="4" s="1"/>
  <c r="H249" i="4"/>
  <c r="J249" i="4" s="1"/>
  <c r="H248" i="4"/>
  <c r="J248" i="4" s="1"/>
  <c r="H247" i="4"/>
  <c r="J247" i="4" s="1"/>
  <c r="H246" i="4"/>
  <c r="H242" i="4"/>
  <c r="H241" i="4"/>
  <c r="H240" i="4"/>
  <c r="H239" i="4"/>
  <c r="J239" i="4" s="1"/>
  <c r="H238" i="4"/>
  <c r="J238" i="4" s="1"/>
  <c r="H237" i="4"/>
  <c r="J237" i="4" s="1"/>
  <c r="H235" i="4"/>
  <c r="J235" i="4" s="1"/>
  <c r="H234" i="4"/>
  <c r="J234" i="4" s="1"/>
  <c r="H232" i="4"/>
  <c r="J232" i="4" s="1"/>
  <c r="H231" i="4"/>
  <c r="J231" i="4" s="1"/>
  <c r="H230" i="4"/>
  <c r="J230" i="4" s="1"/>
  <c r="J236" i="4"/>
  <c r="J229" i="4"/>
  <c r="H227" i="4"/>
  <c r="J227" i="4" s="1"/>
  <c r="H226" i="4"/>
  <c r="J226" i="4" s="1"/>
  <c r="H225" i="4"/>
  <c r="J225" i="4" s="1"/>
  <c r="H224" i="4"/>
  <c r="J224" i="4" s="1"/>
  <c r="H223" i="4"/>
  <c r="J223" i="4" s="1"/>
  <c r="H222" i="4"/>
  <c r="J222" i="4" s="1"/>
  <c r="H221" i="4"/>
  <c r="J221" i="4" s="1"/>
  <c r="H220" i="4"/>
  <c r="J220" i="4" s="1"/>
  <c r="H219" i="4"/>
  <c r="H214" i="4"/>
  <c r="J214" i="4" s="1"/>
  <c r="H213" i="4"/>
  <c r="J213" i="4" s="1"/>
  <c r="H212" i="4"/>
  <c r="J212" i="4" s="1"/>
  <c r="H211" i="4"/>
  <c r="J211" i="4" s="1"/>
  <c r="H210" i="4"/>
  <c r="J210" i="4" s="1"/>
  <c r="J209" i="4"/>
  <c r="J208" i="4"/>
  <c r="H206" i="4"/>
  <c r="J206" i="4" s="1"/>
  <c r="H205" i="4"/>
  <c r="J205" i="4" s="1"/>
  <c r="H204" i="4"/>
  <c r="J204" i="4" s="1"/>
  <c r="H203" i="4"/>
  <c r="J203" i="4" s="1"/>
  <c r="H202" i="4"/>
  <c r="J202" i="4" s="1"/>
  <c r="H201" i="4"/>
  <c r="J201" i="4" s="1"/>
  <c r="H200" i="4"/>
  <c r="J200" i="4" s="1"/>
  <c r="H199" i="4"/>
  <c r="H195" i="4"/>
  <c r="H194" i="4"/>
  <c r="H193" i="4"/>
  <c r="H192" i="4"/>
  <c r="J192" i="4" s="1"/>
  <c r="J190" i="4"/>
  <c r="J191" i="4"/>
  <c r="J189" i="4"/>
  <c r="J30" i="4"/>
  <c r="J31" i="4"/>
  <c r="J48" i="4"/>
  <c r="J49" i="4"/>
  <c r="J64" i="4"/>
  <c r="J65" i="4"/>
  <c r="J98" i="4"/>
  <c r="J99" i="4"/>
  <c r="H187" i="4"/>
  <c r="J187" i="4" s="1"/>
  <c r="H186" i="4"/>
  <c r="J186" i="4" s="1"/>
  <c r="H185" i="4"/>
  <c r="J185" i="4" s="1"/>
  <c r="H184" i="4"/>
  <c r="J184" i="4" s="1"/>
  <c r="H183" i="4"/>
  <c r="J183" i="4" s="1"/>
  <c r="H182" i="4"/>
  <c r="J182" i="4" s="1"/>
  <c r="H181" i="4"/>
  <c r="J181" i="4" s="1"/>
  <c r="H180" i="4"/>
  <c r="J180" i="4" s="1"/>
  <c r="H179" i="4"/>
  <c r="J179" i="4" s="1"/>
  <c r="H178" i="4"/>
  <c r="H174" i="4"/>
  <c r="H173" i="4"/>
  <c r="H171" i="4"/>
  <c r="H170" i="4"/>
  <c r="J170" i="4" s="1"/>
  <c r="H169" i="4"/>
  <c r="J169" i="4" s="1"/>
  <c r="H168" i="4"/>
  <c r="J168" i="4" s="1"/>
  <c r="H167" i="4"/>
  <c r="J167" i="4" s="1"/>
  <c r="J166" i="4"/>
  <c r="J164" i="4"/>
  <c r="J165" i="4"/>
  <c r="J163" i="4"/>
  <c r="H139" i="4"/>
  <c r="J139" i="4" s="1"/>
  <c r="H138" i="4"/>
  <c r="J138" i="4" s="1"/>
  <c r="H137" i="4"/>
  <c r="J137" i="4" s="1"/>
  <c r="H136" i="4"/>
  <c r="J136" i="4" s="1"/>
  <c r="H135" i="4"/>
  <c r="J135" i="4" s="1"/>
  <c r="H134" i="4"/>
  <c r="J134" i="4" s="1"/>
  <c r="H133" i="4"/>
  <c r="J133" i="4" s="1"/>
  <c r="H132" i="4"/>
  <c r="J132" i="4" s="1"/>
  <c r="J131" i="4"/>
  <c r="H129" i="4"/>
  <c r="J129" i="4" s="1"/>
  <c r="H128" i="4"/>
  <c r="J128" i="4" s="1"/>
  <c r="H127" i="4"/>
  <c r="J127" i="4" s="1"/>
  <c r="H126" i="4"/>
  <c r="J126" i="4" s="1"/>
  <c r="H125" i="4"/>
  <c r="J125" i="4" s="1"/>
  <c r="H124" i="4"/>
  <c r="J124" i="4" s="1"/>
  <c r="H123" i="4"/>
  <c r="J123" i="4" s="1"/>
  <c r="H122" i="4"/>
  <c r="J122" i="4" s="1"/>
  <c r="H121" i="4"/>
  <c r="J121" i="4" s="1"/>
  <c r="H120" i="4"/>
  <c r="J120" i="4" s="1"/>
  <c r="H119" i="4"/>
  <c r="J119" i="4" s="1"/>
  <c r="H118" i="4"/>
  <c r="J118" i="4" s="1"/>
  <c r="H117" i="4"/>
  <c r="J117" i="4" s="1"/>
  <c r="H116" i="4"/>
  <c r="J116" i="4" s="1"/>
  <c r="H115" i="4"/>
  <c r="J115" i="4" s="1"/>
  <c r="H114" i="4"/>
  <c r="J114" i="4" s="1"/>
  <c r="H113" i="4"/>
  <c r="J113" i="4" s="1"/>
  <c r="H112" i="4"/>
  <c r="H108" i="4"/>
  <c r="J108" i="4" s="1"/>
  <c r="H107" i="4"/>
  <c r="J107" i="4" s="1"/>
  <c r="H106" i="4"/>
  <c r="J106" i="4" s="1"/>
  <c r="H105" i="4"/>
  <c r="J105" i="4" s="1"/>
  <c r="H104" i="4"/>
  <c r="J104" i="4" s="1"/>
  <c r="H103" i="4"/>
  <c r="J103" i="4" s="1"/>
  <c r="H102" i="4"/>
  <c r="J102" i="4" s="1"/>
  <c r="H101" i="4"/>
  <c r="J101" i="4" s="1"/>
  <c r="H100" i="4"/>
  <c r="J100" i="4" s="1"/>
  <c r="J97" i="4"/>
  <c r="H95" i="4"/>
  <c r="J95" i="4" s="1"/>
  <c r="H94" i="4"/>
  <c r="J94" i="4" s="1"/>
  <c r="H93" i="4"/>
  <c r="J93" i="4" s="1"/>
  <c r="H92" i="4"/>
  <c r="J92" i="4" s="1"/>
  <c r="H91" i="4"/>
  <c r="J91" i="4" s="1"/>
  <c r="H90" i="4"/>
  <c r="J90" i="4" s="1"/>
  <c r="H89" i="4"/>
  <c r="J89" i="4" s="1"/>
  <c r="H88" i="4"/>
  <c r="J88" i="4" s="1"/>
  <c r="H87" i="4"/>
  <c r="J87" i="4" s="1"/>
  <c r="H86" i="4"/>
  <c r="J86" i="4" s="1"/>
  <c r="H85" i="4"/>
  <c r="J85" i="4" s="1"/>
  <c r="H84" i="4"/>
  <c r="J84" i="4" s="1"/>
  <c r="H83" i="4"/>
  <c r="J83" i="4" s="1"/>
  <c r="H82" i="4"/>
  <c r="J82" i="4" s="1"/>
  <c r="H81" i="4"/>
  <c r="J81" i="4" s="1"/>
  <c r="H80" i="4"/>
  <c r="J80" i="4" s="1"/>
  <c r="H79" i="4"/>
  <c r="J79" i="4" s="1"/>
  <c r="H78" i="4"/>
  <c r="J78" i="4" s="1"/>
  <c r="H77" i="4"/>
  <c r="J77" i="4" s="1"/>
  <c r="H76" i="4"/>
  <c r="J76" i="4" s="1"/>
  <c r="H75" i="4"/>
  <c r="J75" i="4" s="1"/>
  <c r="H74" i="4"/>
  <c r="H70" i="4"/>
  <c r="J70" i="4" s="1"/>
  <c r="H69" i="4"/>
  <c r="J69" i="4" s="1"/>
  <c r="H68" i="4"/>
  <c r="J68" i="4" s="1"/>
  <c r="H67" i="4"/>
  <c r="J67" i="4" s="1"/>
  <c r="H66" i="4"/>
  <c r="J66" i="4" s="1"/>
  <c r="J63" i="4"/>
  <c r="H61" i="4"/>
  <c r="J61" i="4" s="1"/>
  <c r="H60" i="4"/>
  <c r="J60" i="4" s="1"/>
  <c r="H59" i="4"/>
  <c r="J59" i="4" s="1"/>
  <c r="H58" i="4"/>
  <c r="H54" i="4"/>
  <c r="J54" i="4" s="1"/>
  <c r="H53" i="4"/>
  <c r="J53" i="4" s="1"/>
  <c r="H52" i="4"/>
  <c r="J52" i="4" s="1"/>
  <c r="H51" i="4"/>
  <c r="J51" i="4" s="1"/>
  <c r="H50" i="4"/>
  <c r="J50" i="4" s="1"/>
  <c r="J47" i="4"/>
  <c r="H45" i="4"/>
  <c r="J45" i="4" s="1"/>
  <c r="H44" i="4"/>
  <c r="J44" i="4" s="1"/>
  <c r="H43" i="4"/>
  <c r="J43" i="4" s="1"/>
  <c r="H42" i="4"/>
  <c r="J42" i="4" s="1"/>
  <c r="H41" i="4"/>
  <c r="J41" i="4" s="1"/>
  <c r="H40" i="4"/>
  <c r="H36" i="4"/>
  <c r="J36" i="4" s="1"/>
  <c r="H35" i="4"/>
  <c r="J35" i="4" s="1"/>
  <c r="H34" i="4"/>
  <c r="J34" i="4" s="1"/>
  <c r="H33" i="4"/>
  <c r="J33" i="4" s="1"/>
  <c r="H32" i="4"/>
  <c r="J32" i="4" s="1"/>
  <c r="J29" i="4"/>
  <c r="H27" i="4"/>
  <c r="H23" i="4"/>
  <c r="H22" i="4"/>
  <c r="H21" i="4"/>
  <c r="H20" i="4"/>
  <c r="H19" i="4"/>
  <c r="J19" i="4" s="1"/>
  <c r="J17" i="4"/>
  <c r="J18" i="4"/>
  <c r="J16" i="4"/>
  <c r="H14" i="4"/>
  <c r="H9" i="4"/>
  <c r="J9" i="4" s="1"/>
  <c r="H8" i="4"/>
  <c r="J8" i="4" s="1"/>
  <c r="H7" i="4"/>
  <c r="J7" i="4" s="1"/>
  <c r="H6" i="4"/>
  <c r="J6" i="4" s="1"/>
  <c r="J10" i="4"/>
  <c r="H5" i="4"/>
  <c r="J5" i="4" s="1"/>
  <c r="H3" i="4"/>
  <c r="H332" i="13"/>
  <c r="J332" i="13" s="1"/>
  <c r="H331" i="13"/>
  <c r="J331" i="13" s="1"/>
  <c r="H330" i="13"/>
  <c r="J330" i="13" s="1"/>
  <c r="H329" i="13"/>
  <c r="J329" i="13" s="1"/>
  <c r="H328" i="13"/>
  <c r="J328" i="13" s="1"/>
  <c r="H327" i="13"/>
  <c r="J327" i="13" s="1"/>
  <c r="J326" i="13"/>
  <c r="H325" i="13"/>
  <c r="J325" i="13" s="1"/>
  <c r="H324" i="13"/>
  <c r="J324" i="13" s="1"/>
  <c r="H323" i="13"/>
  <c r="J323" i="13" s="1"/>
  <c r="H322" i="13"/>
  <c r="J322" i="13" s="1"/>
  <c r="H321" i="13"/>
  <c r="J321" i="13" s="1"/>
  <c r="H317" i="13"/>
  <c r="J317" i="13" s="1"/>
  <c r="H316" i="13"/>
  <c r="J316" i="13" s="1"/>
  <c r="H315" i="13"/>
  <c r="J315" i="13" s="1"/>
  <c r="H314" i="13"/>
  <c r="J314" i="13" s="1"/>
  <c r="H313" i="13"/>
  <c r="J313" i="13" s="1"/>
  <c r="H309" i="13"/>
  <c r="J309" i="13" s="1"/>
  <c r="H307" i="13"/>
  <c r="J307" i="13" s="1"/>
  <c r="H306" i="13"/>
  <c r="J306" i="13" s="1"/>
  <c r="H302" i="13"/>
  <c r="H301" i="13"/>
  <c r="J301" i="13" s="1"/>
  <c r="H300" i="13"/>
  <c r="J300" i="13" s="1"/>
  <c r="H299" i="13"/>
  <c r="J299" i="13" s="1"/>
  <c r="J302" i="13"/>
  <c r="H298" i="13"/>
  <c r="H296" i="13"/>
  <c r="J296" i="13" s="1"/>
  <c r="H295" i="13"/>
  <c r="J295" i="13" s="1"/>
  <c r="H288" i="13"/>
  <c r="J288" i="13" s="1"/>
  <c r="H287" i="13"/>
  <c r="J287" i="13" s="1"/>
  <c r="H286" i="13"/>
  <c r="J286" i="13" s="1"/>
  <c r="H285" i="13"/>
  <c r="J285" i="13" s="1"/>
  <c r="H284" i="13"/>
  <c r="J284" i="13" s="1"/>
  <c r="H283" i="13"/>
  <c r="J283" i="13" s="1"/>
  <c r="H282" i="13"/>
  <c r="J282" i="13" s="1"/>
  <c r="H281" i="13"/>
  <c r="J281" i="13" s="1"/>
  <c r="H280" i="13"/>
  <c r="J280" i="13" s="1"/>
  <c r="H272" i="13"/>
  <c r="J272" i="13" s="1"/>
  <c r="H271" i="13"/>
  <c r="J271" i="13" s="1"/>
  <c r="H270" i="13"/>
  <c r="J270" i="13" s="1"/>
  <c r="H269" i="13"/>
  <c r="J269" i="13" s="1"/>
  <c r="H267" i="13"/>
  <c r="J267" i="13" s="1"/>
  <c r="H268" i="13"/>
  <c r="J268" i="13" s="1"/>
  <c r="H266" i="13"/>
  <c r="J266" i="13" s="1"/>
  <c r="H264" i="13"/>
  <c r="J264" i="13" s="1"/>
  <c r="H265" i="13"/>
  <c r="J265" i="13" s="1"/>
  <c r="H263" i="13"/>
  <c r="J263" i="13" s="1"/>
  <c r="H262" i="13"/>
  <c r="J262" i="13" s="1"/>
  <c r="H258" i="13"/>
  <c r="J258" i="13" s="1"/>
  <c r="H257" i="13"/>
  <c r="J257" i="13" s="1"/>
  <c r="H256" i="13"/>
  <c r="J256" i="13" s="1"/>
  <c r="H255" i="13"/>
  <c r="J255" i="13" s="1"/>
  <c r="H254" i="13"/>
  <c r="J254" i="13" s="1"/>
  <c r="H253" i="13"/>
  <c r="J253" i="13" s="1"/>
  <c r="H252" i="13"/>
  <c r="J252" i="13" s="1"/>
  <c r="H251" i="13"/>
  <c r="J251" i="13" s="1"/>
  <c r="H250" i="13"/>
  <c r="J250" i="13" s="1"/>
  <c r="H249" i="13"/>
  <c r="J249" i="13" s="1"/>
  <c r="H245" i="13"/>
  <c r="J245" i="13" s="1"/>
  <c r="H244" i="13"/>
  <c r="J244" i="13" s="1"/>
  <c r="H243" i="13"/>
  <c r="J243" i="13" s="1"/>
  <c r="H242" i="13"/>
  <c r="J242" i="13" s="1"/>
  <c r="H241" i="13"/>
  <c r="J241" i="13" s="1"/>
  <c r="H240" i="13"/>
  <c r="J240" i="13" s="1"/>
  <c r="H236" i="13"/>
  <c r="J236" i="13" s="1"/>
  <c r="H235" i="13"/>
  <c r="J235" i="13" s="1"/>
  <c r="H234" i="13"/>
  <c r="J234" i="13" s="1"/>
  <c r="H233" i="13"/>
  <c r="J233" i="13" s="1"/>
  <c r="H232" i="13"/>
  <c r="J232" i="13" s="1"/>
  <c r="H231" i="13"/>
  <c r="J231" i="13" s="1"/>
  <c r="H225" i="13"/>
  <c r="J225" i="13" s="1"/>
  <c r="H226" i="13"/>
  <c r="J226" i="13" s="1"/>
  <c r="H227" i="13"/>
  <c r="J227" i="13" s="1"/>
  <c r="H224" i="13"/>
  <c r="J224" i="13" s="1"/>
  <c r="H220" i="13"/>
  <c r="J220" i="13" s="1"/>
  <c r="H219" i="13"/>
  <c r="J219" i="13" s="1"/>
  <c r="H218" i="13"/>
  <c r="J218" i="13" s="1"/>
  <c r="H217" i="13"/>
  <c r="J217" i="13" s="1"/>
  <c r="H216" i="13"/>
  <c r="J216" i="13" s="1"/>
  <c r="H215" i="13"/>
  <c r="J215" i="13" s="1"/>
  <c r="H214" i="13"/>
  <c r="H213" i="13"/>
  <c r="H209" i="13"/>
  <c r="J209" i="13" s="1"/>
  <c r="H208" i="13"/>
  <c r="J208" i="13" s="1"/>
  <c r="H204" i="13"/>
  <c r="J204" i="13" s="1"/>
  <c r="H202" i="13"/>
  <c r="J202" i="13" s="1"/>
  <c r="H203" i="13"/>
  <c r="J203" i="13" s="1"/>
  <c r="H201" i="13"/>
  <c r="J201" i="13" s="1"/>
  <c r="H197" i="13"/>
  <c r="J197" i="13" s="1"/>
  <c r="H196" i="13"/>
  <c r="J196" i="13" s="1"/>
  <c r="H195" i="13"/>
  <c r="J195" i="13" s="1"/>
  <c r="H194" i="13"/>
  <c r="J194" i="13" s="1"/>
  <c r="H190" i="13"/>
  <c r="J190" i="13" s="1"/>
  <c r="H189" i="13"/>
  <c r="J189" i="13" s="1"/>
  <c r="H188" i="13"/>
  <c r="J188" i="13" s="1"/>
  <c r="H186" i="13"/>
  <c r="J186" i="13" s="1"/>
  <c r="H187" i="13"/>
  <c r="J187" i="13" s="1"/>
  <c r="H185" i="13"/>
  <c r="J185" i="13" s="1"/>
  <c r="H180" i="13"/>
  <c r="J180" i="13" s="1"/>
  <c r="H181" i="13"/>
  <c r="J181" i="13" s="1"/>
  <c r="H179" i="13"/>
  <c r="J179" i="13" s="1"/>
  <c r="H173" i="13"/>
  <c r="J173" i="13" s="1"/>
  <c r="H174" i="13"/>
  <c r="J174" i="13" s="1"/>
  <c r="H175" i="13"/>
  <c r="J175" i="13" s="1"/>
  <c r="H172" i="13"/>
  <c r="J172" i="13" s="1"/>
  <c r="H166" i="13"/>
  <c r="J166" i="13" s="1"/>
  <c r="H167" i="13"/>
  <c r="J167" i="13" s="1"/>
  <c r="H168" i="13"/>
  <c r="J168" i="13" s="1"/>
  <c r="H165" i="13"/>
  <c r="J165" i="13" s="1"/>
  <c r="H104" i="13"/>
  <c r="H105" i="13"/>
  <c r="H106" i="13"/>
  <c r="J106" i="13" s="1"/>
  <c r="H107" i="13"/>
  <c r="J107" i="13" s="1"/>
  <c r="H108" i="13"/>
  <c r="H103" i="13"/>
  <c r="H100" i="13"/>
  <c r="H101" i="13"/>
  <c r="H102" i="13"/>
  <c r="H99" i="13"/>
  <c r="H112" i="13"/>
  <c r="J112" i="13" s="1"/>
  <c r="H111" i="13"/>
  <c r="J111" i="13" s="1"/>
  <c r="H110" i="13"/>
  <c r="J110" i="13" s="1"/>
  <c r="H142" i="13"/>
  <c r="H140" i="13"/>
  <c r="J140" i="13" s="1"/>
  <c r="H139" i="13"/>
  <c r="J139" i="13" s="1"/>
  <c r="H138" i="13"/>
  <c r="J138" i="13" s="1"/>
  <c r="H137" i="13"/>
  <c r="J137" i="13" s="1"/>
  <c r="H136" i="13"/>
  <c r="J136" i="13" s="1"/>
  <c r="H133" i="13"/>
  <c r="J133" i="13" s="1"/>
  <c r="H134" i="13"/>
  <c r="J134" i="13" s="1"/>
  <c r="H135" i="13"/>
  <c r="J135" i="13" s="1"/>
  <c r="H132" i="13"/>
  <c r="J132" i="13" s="1"/>
  <c r="H129" i="13"/>
  <c r="J129" i="13" s="1"/>
  <c r="H130" i="13"/>
  <c r="J130" i="13" s="1"/>
  <c r="H131" i="13"/>
  <c r="J131" i="13" s="1"/>
  <c r="H128" i="13"/>
  <c r="J128" i="13" s="1"/>
  <c r="H95" i="13"/>
  <c r="J95" i="13" s="1"/>
  <c r="H94" i="13"/>
  <c r="J94" i="13" s="1"/>
  <c r="H93" i="13"/>
  <c r="J93" i="13" s="1"/>
  <c r="H92" i="13"/>
  <c r="J92" i="13" s="1"/>
  <c r="H91" i="13"/>
  <c r="J91" i="13" s="1"/>
  <c r="H90" i="13"/>
  <c r="J90" i="13" s="1"/>
  <c r="H89" i="13"/>
  <c r="J89" i="13" s="1"/>
  <c r="H117" i="13"/>
  <c r="J117" i="13" s="1"/>
  <c r="H118" i="13"/>
  <c r="J118" i="13" s="1"/>
  <c r="H116" i="13"/>
  <c r="J116" i="13" s="1"/>
  <c r="H83" i="13"/>
  <c r="J83" i="13" s="1"/>
  <c r="H84" i="13"/>
  <c r="J84" i="13" s="1"/>
  <c r="H85" i="13"/>
  <c r="J85" i="13" s="1"/>
  <c r="H82" i="13"/>
  <c r="J82" i="13" s="1"/>
  <c r="H78" i="13"/>
  <c r="J78" i="13" s="1"/>
  <c r="H77" i="13"/>
  <c r="J77" i="13" s="1"/>
  <c r="H73" i="13"/>
  <c r="J73" i="13" s="1"/>
  <c r="H72" i="13"/>
  <c r="J72" i="13" s="1"/>
  <c r="H71" i="13"/>
  <c r="J71" i="13" s="1"/>
  <c r="H70" i="13"/>
  <c r="J70" i="13" s="1"/>
  <c r="H69" i="13"/>
  <c r="J69" i="13" s="1"/>
  <c r="H65" i="13"/>
  <c r="J65" i="13" s="1"/>
  <c r="H64" i="13"/>
  <c r="J64" i="13" s="1"/>
  <c r="H63" i="13"/>
  <c r="J63" i="13" s="1"/>
  <c r="H62" i="13"/>
  <c r="J62" i="13" s="1"/>
  <c r="H58" i="13"/>
  <c r="H53" i="13"/>
  <c r="J53" i="13" s="1"/>
  <c r="H54" i="13"/>
  <c r="J54" i="13" s="1"/>
  <c r="H55" i="13"/>
  <c r="J55" i="13" s="1"/>
  <c r="H56" i="13"/>
  <c r="J56" i="13" s="1"/>
  <c r="H52" i="13"/>
  <c r="J52" i="13" s="1"/>
  <c r="H48" i="13"/>
  <c r="J48" i="13" s="1"/>
  <c r="H46" i="13"/>
  <c r="J46" i="13" s="1"/>
  <c r="H47" i="13"/>
  <c r="J47" i="13" s="1"/>
  <c r="H45" i="13"/>
  <c r="J45" i="13" s="1"/>
  <c r="H44" i="13"/>
  <c r="J44" i="13" s="1"/>
  <c r="H43" i="13"/>
  <c r="J43" i="13" s="1"/>
  <c r="H42" i="13"/>
  <c r="J42" i="13" s="1"/>
  <c r="H38" i="13"/>
  <c r="J38" i="13" s="1"/>
  <c r="H37" i="13"/>
  <c r="J37" i="13" s="1"/>
  <c r="H36" i="13"/>
  <c r="J36" i="13" s="1"/>
  <c r="H35" i="13"/>
  <c r="J35" i="13" s="1"/>
  <c r="H34" i="13"/>
  <c r="J34" i="13" s="1"/>
  <c r="H33" i="13"/>
  <c r="J33" i="13" s="1"/>
  <c r="H32" i="13"/>
  <c r="J32" i="13" s="1"/>
  <c r="H31" i="13"/>
  <c r="J31" i="13" s="1"/>
  <c r="H30" i="13"/>
  <c r="J30" i="13" s="1"/>
  <c r="H29" i="13"/>
  <c r="J29" i="13" s="1"/>
  <c r="H28" i="13"/>
  <c r="J28" i="13" s="1"/>
  <c r="H27" i="13"/>
  <c r="J27" i="13" s="1"/>
  <c r="H26" i="13"/>
  <c r="J26" i="13" s="1"/>
  <c r="H25" i="13"/>
  <c r="J25" i="13" s="1"/>
  <c r="H24" i="13"/>
  <c r="J24" i="13" s="1"/>
  <c r="H23" i="13"/>
  <c r="J23" i="13" s="1"/>
  <c r="H22" i="13"/>
  <c r="J22" i="13" s="1"/>
  <c r="H21" i="13"/>
  <c r="J21" i="13" s="1"/>
  <c r="H20" i="13"/>
  <c r="J20" i="13" s="1"/>
  <c r="H19" i="13"/>
  <c r="J19" i="13" s="1"/>
  <c r="H18" i="13"/>
  <c r="J18" i="13" s="1"/>
  <c r="H12" i="13"/>
  <c r="J12" i="13" s="1"/>
  <c r="H11" i="13"/>
  <c r="J11" i="13" s="1"/>
  <c r="H8" i="13"/>
  <c r="J8" i="13" s="1"/>
  <c r="H10" i="13"/>
  <c r="J10" i="13" s="1"/>
  <c r="H9" i="13"/>
  <c r="J9" i="13" s="1"/>
  <c r="H7" i="13"/>
  <c r="J7" i="13" s="1"/>
  <c r="H6" i="13"/>
  <c r="J6" i="13" s="1"/>
  <c r="H5" i="13"/>
  <c r="J5" i="13" s="1"/>
  <c r="H4" i="13"/>
  <c r="J4" i="13" s="1"/>
  <c r="H3" i="13"/>
  <c r="J3" i="13" s="1"/>
  <c r="J38" i="18"/>
  <c r="J39" i="18"/>
  <c r="J40" i="18"/>
  <c r="J41" i="18"/>
  <c r="J42" i="18"/>
  <c r="J43" i="18"/>
  <c r="J44" i="18"/>
  <c r="J45" i="18"/>
  <c r="J46" i="18"/>
  <c r="J47" i="18"/>
  <c r="J48" i="18"/>
  <c r="J53" i="18"/>
  <c r="J54" i="18"/>
  <c r="J55" i="18"/>
  <c r="J24" i="18"/>
  <c r="J25" i="18"/>
  <c r="J26" i="18"/>
  <c r="J27" i="18"/>
  <c r="J28" i="18"/>
  <c r="J29" i="18"/>
  <c r="J30" i="18"/>
  <c r="J31" i="18"/>
  <c r="J32" i="18"/>
  <c r="J33" i="18"/>
  <c r="J4" i="18"/>
  <c r="J5" i="18"/>
  <c r="J6" i="18"/>
  <c r="J7" i="18"/>
  <c r="J8" i="18"/>
  <c r="J9" i="18"/>
  <c r="J10" i="18"/>
  <c r="J12" i="18"/>
  <c r="J13" i="18"/>
  <c r="J14" i="18"/>
  <c r="J15" i="18"/>
  <c r="J16" i="18"/>
  <c r="J17" i="18"/>
  <c r="J18" i="18"/>
  <c r="J19" i="18"/>
  <c r="H25" i="6"/>
  <c r="H26" i="6"/>
  <c r="H27" i="6"/>
  <c r="H24" i="6"/>
  <c r="H20" i="6"/>
  <c r="H16" i="6"/>
  <c r="H17" i="6"/>
  <c r="H18" i="6"/>
  <c r="H15" i="6"/>
  <c r="H10" i="6"/>
  <c r="H8" i="6"/>
  <c r="H7" i="6"/>
  <c r="H6" i="6"/>
  <c r="H5" i="6"/>
  <c r="H4" i="6"/>
  <c r="H3" i="6"/>
  <c r="H15" i="5"/>
  <c r="H16" i="5"/>
  <c r="H14" i="5"/>
  <c r="H8" i="5"/>
  <c r="H6" i="5"/>
  <c r="H5" i="5"/>
  <c r="H7" i="5"/>
  <c r="H9" i="5"/>
  <c r="H10" i="5"/>
  <c r="H4" i="5"/>
  <c r="H3" i="5"/>
  <c r="H201" i="12"/>
  <c r="J201" i="12" s="1"/>
  <c r="H197" i="12"/>
  <c r="H195" i="12"/>
  <c r="J195" i="12" s="1"/>
  <c r="H192" i="12"/>
  <c r="J192" i="12" s="1"/>
  <c r="H203" i="12"/>
  <c r="J203" i="12" s="1"/>
  <c r="H202" i="12"/>
  <c r="H200" i="12"/>
  <c r="J200" i="12" s="1"/>
  <c r="H199" i="12"/>
  <c r="J199" i="12" s="1"/>
  <c r="H198" i="12"/>
  <c r="J198" i="12" s="1"/>
  <c r="H196" i="12"/>
  <c r="J196" i="12" s="1"/>
  <c r="H194" i="12"/>
  <c r="J194" i="12" s="1"/>
  <c r="H193" i="12"/>
  <c r="J193" i="12" s="1"/>
  <c r="H188" i="12"/>
  <c r="J188" i="12" s="1"/>
  <c r="H187" i="12"/>
  <c r="J187" i="12" s="1"/>
  <c r="H186" i="12"/>
  <c r="J186" i="12" s="1"/>
  <c r="H185" i="12"/>
  <c r="J185" i="12" s="1"/>
  <c r="H184" i="12"/>
  <c r="J184" i="12" s="1"/>
  <c r="H183" i="12"/>
  <c r="J183" i="12" s="1"/>
  <c r="H182" i="12"/>
  <c r="J182" i="12" s="1"/>
  <c r="H181" i="12"/>
  <c r="J181" i="12" s="1"/>
  <c r="H180" i="12"/>
  <c r="J180" i="12" s="1"/>
  <c r="H179" i="12"/>
  <c r="J179" i="12" s="1"/>
  <c r="H178" i="12"/>
  <c r="J178" i="12" s="1"/>
  <c r="H177" i="12"/>
  <c r="J177" i="12" s="1"/>
  <c r="H162" i="12"/>
  <c r="J162" i="12" s="1"/>
  <c r="H173" i="12"/>
  <c r="J173" i="12" s="1"/>
  <c r="H172" i="12"/>
  <c r="J172" i="12" s="1"/>
  <c r="H171" i="12"/>
  <c r="J171" i="12" s="1"/>
  <c r="H170" i="12"/>
  <c r="J170" i="12" s="1"/>
  <c r="H169" i="12"/>
  <c r="J169" i="12" s="1"/>
  <c r="H168" i="12"/>
  <c r="J168" i="12" s="1"/>
  <c r="H167" i="12"/>
  <c r="J167" i="12" s="1"/>
  <c r="H166" i="12"/>
  <c r="J166" i="12" s="1"/>
  <c r="H165" i="12"/>
  <c r="J165" i="12" s="1"/>
  <c r="H164" i="12"/>
  <c r="J164" i="12" s="1"/>
  <c r="H163" i="12"/>
  <c r="J163" i="12" s="1"/>
  <c r="H158" i="12"/>
  <c r="J158" i="12" s="1"/>
  <c r="H155" i="12"/>
  <c r="J155" i="12" s="1"/>
  <c r="H156" i="12"/>
  <c r="H157" i="12"/>
  <c r="J157" i="12" s="1"/>
  <c r="H154" i="12"/>
  <c r="H153" i="12"/>
  <c r="J153" i="12" s="1"/>
  <c r="H152" i="12"/>
  <c r="H151" i="12"/>
  <c r="J151" i="12" s="1"/>
  <c r="H150" i="12"/>
  <c r="H149" i="12"/>
  <c r="J149" i="12" s="1"/>
  <c r="H148" i="12"/>
  <c r="H147" i="12"/>
  <c r="J147" i="12" s="1"/>
  <c r="H139" i="12"/>
  <c r="H143" i="12"/>
  <c r="J143" i="12" s="1"/>
  <c r="H138" i="12"/>
  <c r="J138" i="12" s="1"/>
  <c r="H137" i="12"/>
  <c r="J137" i="12" s="1"/>
  <c r="H136" i="12"/>
  <c r="J136" i="12" s="1"/>
  <c r="H135" i="12"/>
  <c r="J135" i="12" s="1"/>
  <c r="H131" i="12"/>
  <c r="J131" i="12" s="1"/>
  <c r="H130" i="12"/>
  <c r="J130" i="12" s="1"/>
  <c r="H129" i="12"/>
  <c r="J129" i="12" s="1"/>
  <c r="H128" i="12"/>
  <c r="J128" i="12" s="1"/>
  <c r="H127" i="12"/>
  <c r="J127" i="12" s="1"/>
  <c r="H126" i="12"/>
  <c r="J126" i="12" s="1"/>
  <c r="H125" i="12"/>
  <c r="J125" i="12" s="1"/>
  <c r="H124" i="12"/>
  <c r="J124" i="12" s="1"/>
  <c r="H123" i="12"/>
  <c r="J123" i="12" s="1"/>
  <c r="H122" i="12"/>
  <c r="J122" i="12" s="1"/>
  <c r="H121" i="12"/>
  <c r="J121" i="12" s="1"/>
  <c r="H120" i="12"/>
  <c r="J120" i="12" s="1"/>
  <c r="H119" i="12"/>
  <c r="J119" i="12" s="1"/>
  <c r="H118" i="12"/>
  <c r="J118" i="12" s="1"/>
  <c r="H117" i="12"/>
  <c r="J117" i="12" s="1"/>
  <c r="H116" i="12"/>
  <c r="J116" i="12" s="1"/>
  <c r="H115" i="12"/>
  <c r="J115" i="12" s="1"/>
  <c r="H114" i="12"/>
  <c r="J114" i="12" s="1"/>
  <c r="H113" i="12"/>
  <c r="J113" i="12" s="1"/>
  <c r="H109" i="12"/>
  <c r="H105" i="12"/>
  <c r="J105" i="12" s="1"/>
  <c r="H108" i="12"/>
  <c r="J108" i="12" s="1"/>
  <c r="H107" i="12"/>
  <c r="J107" i="12" s="1"/>
  <c r="H106" i="12"/>
  <c r="H101" i="12"/>
  <c r="J101" i="12" s="1"/>
  <c r="H100" i="12"/>
  <c r="J100" i="12" s="1"/>
  <c r="H99" i="12"/>
  <c r="J99" i="12" s="1"/>
  <c r="H98" i="12"/>
  <c r="J98" i="12" s="1"/>
  <c r="H97" i="12"/>
  <c r="J97" i="12" s="1"/>
  <c r="H96" i="12"/>
  <c r="J96" i="12" s="1"/>
  <c r="H95" i="12"/>
  <c r="J95" i="12" s="1"/>
  <c r="H94" i="12"/>
  <c r="J94" i="12" s="1"/>
  <c r="H93" i="12"/>
  <c r="J93" i="12" s="1"/>
  <c r="H92" i="12"/>
  <c r="H83" i="12"/>
  <c r="J83" i="12" s="1"/>
  <c r="H84" i="12"/>
  <c r="H79" i="12"/>
  <c r="J79" i="12" s="1"/>
  <c r="H78" i="12"/>
  <c r="J78" i="12" s="1"/>
  <c r="H76" i="12"/>
  <c r="H75" i="12"/>
  <c r="J75" i="12" s="1"/>
  <c r="H74" i="12"/>
  <c r="J74" i="12" s="1"/>
  <c r="H73" i="12"/>
  <c r="J73" i="12" s="1"/>
  <c r="H72" i="12"/>
  <c r="H71" i="12"/>
  <c r="J71" i="12" s="1"/>
  <c r="H70" i="12"/>
  <c r="H69" i="12"/>
  <c r="J69" i="12" s="1"/>
  <c r="H68" i="12"/>
  <c r="H67" i="12"/>
  <c r="J67" i="12" s="1"/>
  <c r="H66" i="12"/>
  <c r="H64" i="12"/>
  <c r="J64" i="12" s="1"/>
  <c r="H63" i="12"/>
  <c r="J63" i="12" s="1"/>
  <c r="H62" i="12"/>
  <c r="H61" i="12"/>
  <c r="J61" i="12" s="1"/>
  <c r="H60" i="12"/>
  <c r="J60" i="12" s="1"/>
  <c r="H59" i="12"/>
  <c r="J59" i="12" s="1"/>
  <c r="H58" i="12"/>
  <c r="H57" i="12"/>
  <c r="J57" i="12" s="1"/>
  <c r="H56" i="12"/>
  <c r="H55" i="12"/>
  <c r="J55" i="12" s="1"/>
  <c r="H54" i="12"/>
  <c r="J54" i="12" s="1"/>
  <c r="H53" i="12"/>
  <c r="J53" i="12" s="1"/>
  <c r="H52" i="12"/>
  <c r="H65" i="12"/>
  <c r="J65" i="12" s="1"/>
  <c r="H77" i="12"/>
  <c r="J77" i="12" s="1"/>
  <c r="H48" i="12"/>
  <c r="J48" i="12" s="1"/>
  <c r="H20" i="12"/>
  <c r="H32" i="12"/>
  <c r="H33" i="12"/>
  <c r="J33" i="12" s="1"/>
  <c r="H31" i="12"/>
  <c r="H30" i="12"/>
  <c r="J30" i="12" s="1"/>
  <c r="H29" i="12"/>
  <c r="H28" i="12"/>
  <c r="J28" i="12" s="1"/>
  <c r="H27" i="12"/>
  <c r="H26" i="12"/>
  <c r="J26" i="12" s="1"/>
  <c r="H25" i="12"/>
  <c r="H24" i="12"/>
  <c r="H23" i="12"/>
  <c r="H22" i="12"/>
  <c r="H21" i="12"/>
  <c r="H16" i="12"/>
  <c r="H14" i="12"/>
  <c r="H12" i="12"/>
  <c r="H15" i="12"/>
  <c r="H13" i="12"/>
  <c r="J13" i="12" s="1"/>
  <c r="H11" i="12"/>
  <c r="H7" i="12"/>
  <c r="H6" i="12"/>
  <c r="J6" i="12" s="1"/>
  <c r="H5" i="12"/>
  <c r="J5" i="12" s="1"/>
  <c r="H4" i="12"/>
  <c r="J4" i="12" s="1"/>
  <c r="H3" i="12"/>
  <c r="J3" i="12" s="1"/>
  <c r="H37" i="12"/>
  <c r="H47" i="12"/>
  <c r="J47" i="12" s="1"/>
  <c r="H46" i="12"/>
  <c r="J46" i="12" s="1"/>
  <c r="H45" i="12"/>
  <c r="H44" i="12"/>
  <c r="H43" i="12"/>
  <c r="H39" i="12"/>
  <c r="H38" i="12"/>
  <c r="J296" i="26"/>
  <c r="J297" i="26"/>
  <c r="J298" i="26"/>
  <c r="J299" i="26"/>
  <c r="J295" i="26"/>
  <c r="J291" i="26"/>
  <c r="J290" i="26"/>
  <c r="J289" i="26"/>
  <c r="J275" i="26"/>
  <c r="J273" i="26"/>
  <c r="J267" i="26"/>
  <c r="J262" i="26"/>
  <c r="J263" i="26"/>
  <c r="J264" i="26"/>
  <c r="J265" i="26"/>
  <c r="J266" i="26"/>
  <c r="J261" i="26"/>
  <c r="J257" i="26"/>
  <c r="J251" i="26"/>
  <c r="J252" i="26"/>
  <c r="J253" i="26"/>
  <c r="J254" i="26"/>
  <c r="J255" i="26"/>
  <c r="J256" i="26"/>
  <c r="J250" i="26"/>
  <c r="J246" i="26"/>
  <c r="J245" i="26"/>
  <c r="J244" i="26"/>
  <c r="J240" i="26"/>
  <c r="J233" i="26"/>
  <c r="J234" i="26"/>
  <c r="J235" i="26"/>
  <c r="J236" i="26"/>
  <c r="J237" i="26"/>
  <c r="J238" i="26"/>
  <c r="J239" i="26"/>
  <c r="J232" i="26"/>
  <c r="J228" i="26"/>
  <c r="J225" i="26"/>
  <c r="J226" i="26"/>
  <c r="J227" i="26"/>
  <c r="J224" i="26"/>
  <c r="J220" i="26"/>
  <c r="J218" i="26"/>
  <c r="J219" i="26"/>
  <c r="J217" i="26"/>
  <c r="J213" i="26"/>
  <c r="J208" i="26"/>
  <c r="J204" i="26"/>
  <c r="J200" i="26"/>
  <c r="J201" i="26"/>
  <c r="J202" i="26"/>
  <c r="J203" i="26"/>
  <c r="J199" i="26"/>
  <c r="J195" i="26"/>
  <c r="J190" i="26"/>
  <c r="J191" i="26"/>
  <c r="J192" i="26"/>
  <c r="J193" i="26"/>
  <c r="J194" i="26"/>
  <c r="J189" i="26"/>
  <c r="J185" i="26"/>
  <c r="J174" i="26"/>
  <c r="J175" i="26"/>
  <c r="J176" i="26"/>
  <c r="J177" i="26"/>
  <c r="J178" i="26"/>
  <c r="J179" i="26"/>
  <c r="J180" i="26"/>
  <c r="J181" i="26"/>
  <c r="J182" i="26"/>
  <c r="J183" i="26"/>
  <c r="J184" i="26"/>
  <c r="J170" i="26"/>
  <c r="J156" i="26"/>
  <c r="J157" i="26"/>
  <c r="J158" i="26"/>
  <c r="J159" i="26"/>
  <c r="J160" i="26"/>
  <c r="J161" i="26"/>
  <c r="J162" i="26"/>
  <c r="J163" i="26"/>
  <c r="J164" i="26"/>
  <c r="J165" i="26"/>
  <c r="J166" i="26"/>
  <c r="J167" i="26"/>
  <c r="J168" i="26"/>
  <c r="J169" i="26"/>
  <c r="J155" i="26"/>
  <c r="J151" i="26"/>
  <c r="J139" i="26"/>
  <c r="J140" i="26"/>
  <c r="J141" i="26"/>
  <c r="J143" i="26"/>
  <c r="J144" i="26"/>
  <c r="J145" i="26"/>
  <c r="J146" i="26"/>
  <c r="J147" i="26"/>
  <c r="J148" i="26"/>
  <c r="J149" i="26"/>
  <c r="J150" i="26"/>
  <c r="J138" i="26"/>
  <c r="J134" i="26"/>
  <c r="J123" i="26"/>
  <c r="J124" i="26"/>
  <c r="J125" i="26"/>
  <c r="J126" i="26"/>
  <c r="J127" i="26"/>
  <c r="J128" i="26"/>
  <c r="J129" i="26"/>
  <c r="J130" i="26"/>
  <c r="J131" i="26"/>
  <c r="J132" i="26"/>
  <c r="J133" i="26"/>
  <c r="J122" i="26"/>
  <c r="J118" i="26"/>
  <c r="J110" i="26"/>
  <c r="J111" i="26"/>
  <c r="J112" i="26"/>
  <c r="J114" i="26"/>
  <c r="J115" i="26"/>
  <c r="J116" i="26"/>
  <c r="J117" i="26"/>
  <c r="J109" i="26"/>
  <c r="J105" i="26"/>
  <c r="J101" i="26"/>
  <c r="J102" i="26"/>
  <c r="J103" i="26"/>
  <c r="J104" i="26"/>
  <c r="J100" i="26"/>
  <c r="J96" i="26"/>
  <c r="J90" i="26"/>
  <c r="J91" i="26"/>
  <c r="J92" i="26"/>
  <c r="J93" i="26"/>
  <c r="J94" i="26"/>
  <c r="J95" i="26"/>
  <c r="J89" i="26"/>
  <c r="J85" i="26"/>
  <c r="J81" i="26"/>
  <c r="J82" i="26"/>
  <c r="J83" i="26"/>
  <c r="J84" i="26"/>
  <c r="J80" i="26"/>
  <c r="J70" i="26"/>
  <c r="J71" i="26"/>
  <c r="J72" i="26"/>
  <c r="J73" i="26"/>
  <c r="J74" i="26"/>
  <c r="J75" i="26"/>
  <c r="J69" i="26"/>
  <c r="J57" i="26"/>
  <c r="J51" i="26"/>
  <c r="J52" i="26"/>
  <c r="J53" i="26"/>
  <c r="J54" i="26"/>
  <c r="J50" i="26"/>
  <c r="J46" i="26"/>
  <c r="J43" i="26"/>
  <c r="J44" i="26"/>
  <c r="J45" i="26"/>
  <c r="J42" i="26"/>
  <c r="J38" i="26"/>
  <c r="J36" i="26"/>
  <c r="J37" i="26"/>
  <c r="J35" i="26"/>
  <c r="J31" i="26"/>
  <c r="J30" i="26"/>
  <c r="J29" i="26"/>
  <c r="J21" i="26"/>
  <c r="J20" i="26"/>
  <c r="J11" i="26"/>
  <c r="J10" i="26"/>
  <c r="J6" i="26"/>
  <c r="J4" i="26"/>
  <c r="J5" i="26"/>
  <c r="J3" i="26"/>
  <c r="J364" i="10"/>
  <c r="J363" i="10"/>
  <c r="J345" i="10"/>
  <c r="J344" i="10"/>
  <c r="J326" i="10"/>
  <c r="J325" i="10"/>
  <c r="J301" i="10"/>
  <c r="J300" i="10"/>
  <c r="J197" i="12" l="1"/>
  <c r="J202" i="12"/>
  <c r="J39" i="12"/>
  <c r="J7" i="12"/>
  <c r="J25" i="12"/>
  <c r="J31" i="12"/>
  <c r="J38" i="12"/>
  <c r="J43" i="12"/>
  <c r="J44" i="12"/>
  <c r="J37" i="12"/>
  <c r="J14" i="12"/>
  <c r="J11" i="12"/>
  <c r="J15" i="12"/>
  <c r="J12" i="12"/>
  <c r="J16" i="12"/>
  <c r="J29" i="12"/>
  <c r="J27" i="12"/>
  <c r="J23" i="12"/>
  <c r="J22" i="12"/>
  <c r="J24" i="12"/>
  <c r="J45" i="12"/>
  <c r="J21" i="12"/>
  <c r="J32" i="12"/>
  <c r="J20" i="12"/>
  <c r="J52" i="12"/>
  <c r="J66" i="12"/>
  <c r="J68" i="12"/>
  <c r="J70" i="12"/>
  <c r="J72" i="12"/>
  <c r="J76" i="12"/>
  <c r="J92" i="12"/>
  <c r="J106" i="12"/>
  <c r="J109" i="12"/>
  <c r="J139" i="12"/>
  <c r="J156" i="12"/>
  <c r="J154" i="12"/>
  <c r="J152" i="12"/>
  <c r="J150" i="12"/>
  <c r="J148" i="12"/>
  <c r="J56" i="12"/>
  <c r="J58" i="12"/>
  <c r="J62" i="12"/>
  <c r="J84" i="12"/>
  <c r="J173" i="10" l="1"/>
  <c r="J172" i="10"/>
  <c r="J171" i="10"/>
  <c r="J159" i="10"/>
  <c r="J160" i="10"/>
  <c r="J158" i="10"/>
  <c r="H35" i="2" l="1"/>
  <c r="J35" i="2" s="1"/>
  <c r="H34" i="2"/>
  <c r="J34" i="2" s="1"/>
  <c r="H33" i="2"/>
  <c r="J33" i="2" s="1"/>
  <c r="H32" i="2"/>
  <c r="J32" i="2" s="1"/>
  <c r="H30" i="2"/>
  <c r="J30" i="2" s="1"/>
  <c r="H29" i="2"/>
  <c r="J29" i="2" s="1"/>
  <c r="H28" i="2"/>
  <c r="J28" i="2" s="1"/>
  <c r="H27" i="2"/>
  <c r="J27" i="2" s="1"/>
  <c r="H26" i="2"/>
  <c r="J26" i="2" s="1"/>
  <c r="H25" i="2"/>
  <c r="J25" i="2" s="1"/>
  <c r="H24" i="2"/>
  <c r="J24" i="2" s="1"/>
  <c r="H23" i="2"/>
  <c r="J23" i="2" s="1"/>
  <c r="H21" i="2"/>
  <c r="J21" i="2" s="1"/>
  <c r="H20" i="2"/>
  <c r="J20" i="2" s="1"/>
  <c r="H19" i="2"/>
  <c r="J19" i="2" s="1"/>
  <c r="H18" i="2"/>
  <c r="J18" i="2" s="1"/>
  <c r="H17" i="2"/>
  <c r="J17" i="2" s="1"/>
  <c r="H16" i="2"/>
  <c r="H39" i="23"/>
  <c r="H38" i="23"/>
  <c r="H20" i="23"/>
  <c r="H19" i="23"/>
  <c r="H8" i="23"/>
  <c r="H7" i="23"/>
  <c r="H4" i="23"/>
  <c r="H3" i="23"/>
  <c r="J67" i="25" l="1"/>
  <c r="J58" i="25" l="1"/>
  <c r="J91" i="25"/>
  <c r="J61" i="25" l="1"/>
  <c r="J19" i="20"/>
  <c r="J3" i="9" l="1"/>
  <c r="J179" i="25" l="1"/>
  <c r="J3" i="14" l="1"/>
  <c r="J192" i="25" l="1"/>
  <c r="J191" i="25"/>
  <c r="J189" i="25"/>
  <c r="J188" i="25"/>
  <c r="J187" i="25"/>
  <c r="J183" i="25"/>
  <c r="J182" i="25"/>
  <c r="J180" i="25"/>
  <c r="J178" i="25"/>
  <c r="J177" i="25"/>
  <c r="J173" i="25"/>
  <c r="J172" i="25"/>
  <c r="J170" i="25"/>
  <c r="J169" i="25"/>
  <c r="J168" i="25"/>
  <c r="J167" i="25"/>
  <c r="J166" i="25"/>
  <c r="J165" i="25"/>
  <c r="J164" i="25"/>
  <c r="J160" i="25"/>
  <c r="J159" i="25"/>
  <c r="J158" i="25"/>
  <c r="J156" i="25"/>
  <c r="J155" i="25"/>
  <c r="J154" i="25"/>
  <c r="J153" i="25"/>
  <c r="J152" i="25"/>
  <c r="J151" i="25"/>
  <c r="J150" i="25"/>
  <c r="J149" i="25"/>
  <c r="J148" i="25"/>
  <c r="J147" i="25"/>
  <c r="J146" i="25"/>
  <c r="J142" i="25"/>
  <c r="J141" i="25"/>
  <c r="J140" i="25"/>
  <c r="J139" i="25"/>
  <c r="J138" i="25"/>
  <c r="J137" i="25"/>
  <c r="J135" i="25"/>
  <c r="J134" i="25"/>
  <c r="J133" i="25"/>
  <c r="J132" i="25"/>
  <c r="J131" i="25"/>
  <c r="J130" i="25"/>
  <c r="J129" i="25"/>
  <c r="J128" i="25"/>
  <c r="J127" i="25"/>
  <c r="J126" i="25"/>
  <c r="J125" i="25"/>
  <c r="J124" i="25"/>
  <c r="J120" i="25"/>
  <c r="J119" i="25"/>
  <c r="J118" i="25"/>
  <c r="J109" i="25"/>
  <c r="J108" i="25"/>
  <c r="J107" i="25"/>
  <c r="J106" i="25"/>
  <c r="J105" i="25"/>
  <c r="J104" i="25"/>
  <c r="J100" i="25"/>
  <c r="J99" i="25"/>
  <c r="J98" i="25"/>
  <c r="J96" i="25"/>
  <c r="J95" i="25"/>
  <c r="J94" i="25"/>
  <c r="J93" i="25"/>
  <c r="J90" i="25"/>
  <c r="J89" i="25"/>
  <c r="J88" i="25"/>
  <c r="J87" i="25"/>
  <c r="J86" i="25"/>
  <c r="J85" i="25"/>
  <c r="J84" i="25"/>
  <c r="J83" i="25"/>
  <c r="J82" i="25"/>
  <c r="J78" i="25"/>
  <c r="J77" i="25"/>
  <c r="J76" i="25"/>
  <c r="J75" i="25"/>
  <c r="J74" i="25"/>
  <c r="J73" i="25"/>
  <c r="J72" i="25"/>
  <c r="J71" i="25"/>
  <c r="J68" i="25"/>
  <c r="J66" i="25"/>
  <c r="J65" i="25"/>
  <c r="J64" i="25"/>
  <c r="J63" i="25"/>
  <c r="J60" i="25"/>
  <c r="J59" i="25"/>
  <c r="J57" i="25"/>
  <c r="J56" i="25"/>
  <c r="J55" i="25"/>
  <c r="J34" i="25"/>
  <c r="J33" i="25"/>
  <c r="J32" i="25"/>
  <c r="J31" i="25"/>
  <c r="J30" i="25"/>
  <c r="J29" i="25"/>
  <c r="J28" i="25"/>
  <c r="J5" i="25"/>
  <c r="J3" i="25"/>
  <c r="J82" i="24"/>
  <c r="J81" i="24"/>
  <c r="J80" i="24"/>
  <c r="J79" i="24"/>
  <c r="J78" i="24"/>
  <c r="J77" i="24"/>
  <c r="J76" i="24"/>
  <c r="J75" i="24"/>
  <c r="J74" i="24"/>
  <c r="J68" i="24"/>
  <c r="J67" i="24"/>
  <c r="J66" i="24"/>
  <c r="J65" i="24"/>
  <c r="J64" i="24"/>
  <c r="J63" i="24"/>
  <c r="J62" i="24"/>
  <c r="J61" i="24"/>
  <c r="J60" i="24"/>
  <c r="J56" i="24"/>
  <c r="J55" i="24"/>
  <c r="J54" i="24"/>
  <c r="J50" i="24"/>
  <c r="J49" i="24"/>
  <c r="J48" i="24"/>
  <c r="J44" i="24"/>
  <c r="J43" i="24"/>
  <c r="J42" i="24"/>
  <c r="J31" i="24"/>
  <c r="J30" i="24"/>
  <c r="J29" i="24"/>
  <c r="J28" i="24"/>
  <c r="J24" i="24"/>
  <c r="J23" i="24"/>
  <c r="J22" i="24"/>
  <c r="J21" i="24"/>
  <c r="J17" i="24"/>
  <c r="J16" i="24"/>
  <c r="J15" i="24"/>
  <c r="J11" i="24"/>
  <c r="J10" i="24"/>
  <c r="J9" i="24"/>
  <c r="J5" i="24"/>
  <c r="J4" i="24"/>
  <c r="J3" i="24"/>
  <c r="J5" i="20" l="1"/>
  <c r="J7" i="20"/>
  <c r="J8" i="20"/>
  <c r="J10" i="20"/>
  <c r="J15" i="20"/>
  <c r="J16" i="20"/>
  <c r="J17" i="20"/>
  <c r="J18" i="20"/>
  <c r="J21" i="20"/>
  <c r="J282" i="10"/>
  <c r="J281" i="10"/>
  <c r="J280" i="10"/>
  <c r="J279" i="10"/>
  <c r="J278" i="10"/>
  <c r="J277" i="10"/>
  <c r="J276" i="10" l="1"/>
  <c r="J275" i="10"/>
  <c r="J9" i="9" l="1"/>
  <c r="J10" i="9"/>
  <c r="J11" i="9"/>
  <c r="J12" i="9"/>
  <c r="J13" i="9"/>
  <c r="J14" i="9"/>
  <c r="J15" i="9"/>
  <c r="J16" i="9"/>
  <c r="J17" i="9"/>
  <c r="J18" i="9"/>
  <c r="J19" i="9"/>
  <c r="J25" i="6" l="1"/>
  <c r="J26" i="6"/>
  <c r="J27" i="6"/>
  <c r="J24" i="6"/>
  <c r="J16" i="6"/>
  <c r="J17" i="6"/>
  <c r="J18" i="6"/>
  <c r="J15" i="6"/>
  <c r="J8" i="6"/>
  <c r="J7" i="6"/>
  <c r="J6" i="6"/>
  <c r="J5" i="6"/>
  <c r="J4" i="6"/>
  <c r="J112" i="4"/>
  <c r="J39" i="23"/>
  <c r="J38" i="23"/>
  <c r="J20" i="23"/>
  <c r="J19" i="23"/>
  <c r="J3" i="6"/>
  <c r="H36" i="2"/>
  <c r="J36" i="2" s="1"/>
  <c r="H31" i="2"/>
  <c r="J31" i="2" s="1"/>
  <c r="H22" i="2"/>
  <c r="J22" i="2" s="1"/>
  <c r="J8" i="23"/>
  <c r="J7" i="23"/>
  <c r="H5" i="23"/>
  <c r="J5" i="23" s="1"/>
  <c r="H30" i="23"/>
  <c r="J30" i="23" s="1"/>
  <c r="H16" i="23"/>
  <c r="J16" i="23" s="1"/>
  <c r="J4" i="23"/>
  <c r="J3" i="23"/>
  <c r="J20" i="6"/>
  <c r="J389" i="4"/>
  <c r="J385" i="4"/>
  <c r="J330" i="4"/>
  <c r="J331" i="4"/>
  <c r="H329" i="4"/>
  <c r="J329" i="4" s="1"/>
  <c r="H328" i="4"/>
  <c r="J328" i="4" s="1"/>
  <c r="H322" i="4"/>
  <c r="H321" i="4"/>
  <c r="H314" i="4"/>
  <c r="H313" i="4"/>
  <c r="H312" i="4"/>
  <c r="H309" i="4"/>
  <c r="H308" i="4"/>
  <c r="H299" i="4"/>
  <c r="J299" i="4" s="1"/>
  <c r="J266" i="4"/>
  <c r="J265" i="4"/>
  <c r="H260" i="4"/>
  <c r="J260" i="4" s="1"/>
  <c r="J246" i="4"/>
  <c r="J242" i="4"/>
  <c r="J241" i="4"/>
  <c r="J240" i="4"/>
  <c r="H233" i="4"/>
  <c r="J233" i="4" s="1"/>
  <c r="J219" i="4"/>
  <c r="H215" i="4"/>
  <c r="J215" i="4" s="1"/>
  <c r="J199" i="4"/>
  <c r="J195" i="4"/>
  <c r="J194" i="4"/>
  <c r="J193" i="4"/>
  <c r="J178" i="4"/>
  <c r="J174" i="4"/>
  <c r="J173" i="4"/>
  <c r="J171" i="4"/>
  <c r="J74" i="4"/>
  <c r="J58" i="4"/>
  <c r="J40" i="4"/>
  <c r="J27" i="4"/>
  <c r="J23" i="4"/>
  <c r="J22" i="4"/>
  <c r="J21" i="4"/>
  <c r="J20" i="4"/>
  <c r="J14" i="4"/>
  <c r="J3" i="4"/>
  <c r="J4" i="9"/>
  <c r="J4" i="14"/>
  <c r="J143" i="4"/>
  <c r="H36" i="23"/>
  <c r="J36" i="23" s="1"/>
  <c r="H35" i="23"/>
  <c r="J35" i="23" s="1"/>
  <c r="H34" i="23"/>
  <c r="J34" i="23" s="1"/>
  <c r="H33" i="23"/>
  <c r="J33" i="23" s="1"/>
  <c r="H32" i="23"/>
  <c r="J32" i="23" s="1"/>
  <c r="H31" i="23"/>
  <c r="J31" i="23" s="1"/>
  <c r="H29" i="23"/>
  <c r="J29" i="23" s="1"/>
  <c r="H28" i="23"/>
  <c r="J28" i="23" s="1"/>
  <c r="H27" i="23"/>
  <c r="J27" i="23" s="1"/>
  <c r="H26" i="23"/>
  <c r="J26" i="23" s="1"/>
  <c r="H25" i="23"/>
  <c r="J25" i="23" s="1"/>
  <c r="H24" i="23"/>
  <c r="J24" i="23" s="1"/>
  <c r="H17" i="23"/>
  <c r="J17" i="23" s="1"/>
  <c r="H15" i="23"/>
  <c r="J15" i="23" s="1"/>
  <c r="H14" i="23"/>
  <c r="J14" i="23" s="1"/>
  <c r="H13" i="23"/>
  <c r="J13" i="23" s="1"/>
  <c r="H12" i="23"/>
  <c r="J12" i="23" s="1"/>
  <c r="J104" i="13"/>
  <c r="J105" i="13"/>
  <c r="J108" i="13"/>
  <c r="J103" i="13"/>
  <c r="J100" i="13"/>
  <c r="J101" i="13"/>
  <c r="J102" i="13"/>
  <c r="J99" i="13"/>
  <c r="J58" i="13"/>
  <c r="J16" i="2"/>
  <c r="H41" i="2"/>
  <c r="J41" i="2" s="1"/>
  <c r="H40" i="2"/>
  <c r="J40" i="2" s="1"/>
  <c r="H39" i="2"/>
  <c r="J39" i="2" s="1"/>
  <c r="H38" i="2"/>
  <c r="J38" i="2" s="1"/>
  <c r="H37" i="2"/>
  <c r="J37" i="2" s="1"/>
  <c r="H8" i="2"/>
  <c r="J8" i="2" s="1"/>
  <c r="H7" i="2"/>
  <c r="J7" i="2" s="1"/>
  <c r="H6" i="2"/>
  <c r="J6" i="2" s="1"/>
  <c r="H5" i="2"/>
  <c r="J5" i="2" s="1"/>
  <c r="H4" i="2"/>
  <c r="J4" i="2" s="1"/>
  <c r="H3" i="2"/>
  <c r="J3" i="2" s="1"/>
  <c r="J23" i="20"/>
  <c r="J4" i="15"/>
  <c r="J5" i="15"/>
  <c r="J298" i="13"/>
  <c r="H276" i="13"/>
  <c r="J276" i="13" s="1"/>
  <c r="H275" i="13"/>
  <c r="J275" i="13" s="1"/>
  <c r="H274" i="13"/>
  <c r="J274" i="13" s="1"/>
  <c r="J214" i="13"/>
  <c r="J213" i="13"/>
  <c r="H161" i="13"/>
  <c r="J161" i="13" s="1"/>
  <c r="H160" i="13"/>
  <c r="J160" i="13" s="1"/>
  <c r="H159" i="13"/>
  <c r="J159" i="13" s="1"/>
  <c r="H156" i="13"/>
  <c r="J156" i="13" s="1"/>
  <c r="H157" i="13"/>
  <c r="J157" i="13" s="1"/>
  <c r="H155" i="13"/>
  <c r="J155" i="13" s="1"/>
  <c r="H154" i="13"/>
  <c r="J154" i="13" s="1"/>
  <c r="H153" i="13"/>
  <c r="J153" i="13" s="1"/>
  <c r="H152" i="13"/>
  <c r="J152" i="13" s="1"/>
  <c r="H151" i="13"/>
  <c r="J151" i="13" s="1"/>
  <c r="H150" i="13"/>
  <c r="J150" i="13" s="1"/>
  <c r="H149" i="13"/>
  <c r="J149" i="13" s="1"/>
  <c r="H148" i="13"/>
  <c r="J148" i="13" s="1"/>
  <c r="H143" i="13"/>
  <c r="J143" i="13" s="1"/>
  <c r="J142" i="13"/>
  <c r="H124" i="13"/>
  <c r="J124" i="13" s="1"/>
  <c r="H123" i="13"/>
  <c r="J123" i="13" s="1"/>
  <c r="H122" i="13"/>
  <c r="J122" i="13" s="1"/>
  <c r="J15" i="14"/>
  <c r="J52" i="18"/>
  <c r="J37" i="18"/>
  <c r="J23" i="18"/>
  <c r="J3" i="18"/>
  <c r="H11" i="6"/>
  <c r="J11" i="6" s="1"/>
  <c r="J10" i="6"/>
  <c r="J16" i="5"/>
  <c r="J15" i="5"/>
  <c r="J14" i="5"/>
  <c r="J10" i="5"/>
  <c r="J9" i="5"/>
  <c r="J8" i="5"/>
  <c r="J7" i="5"/>
  <c r="J6" i="5"/>
  <c r="J5" i="5"/>
  <c r="J4" i="5"/>
  <c r="J3" i="5"/>
  <c r="J13" i="14"/>
  <c r="J14" i="14"/>
  <c r="J12" i="14"/>
  <c r="J6" i="15"/>
  <c r="J7" i="15"/>
  <c r="J8" i="15"/>
  <c r="J3" i="15"/>
  <c r="J8" i="14"/>
  <c r="J8" i="9"/>
  <c r="J57" i="10"/>
  <c r="J48" i="10"/>
  <c r="J17" i="15"/>
  <c r="J16" i="15"/>
  <c r="J15" i="15"/>
  <c r="J14" i="15"/>
  <c r="J13" i="15"/>
  <c r="J12" i="15"/>
  <c r="H291" i="13"/>
  <c r="J291" i="13" s="1"/>
  <c r="H290" i="13"/>
  <c r="J290" i="13" s="1"/>
  <c r="H144" i="13"/>
  <c r="J144" i="13" s="1"/>
  <c r="H44" i="2"/>
  <c r="J44" i="2" s="1"/>
  <c r="H43" i="2"/>
  <c r="J43" i="2" s="1"/>
  <c r="H12" i="2"/>
  <c r="J12" i="2" s="1"/>
  <c r="H11" i="2"/>
  <c r="J11" i="2" s="1"/>
  <c r="H10" i="2"/>
  <c r="J10" i="2" s="1"/>
</calcChain>
</file>

<file path=xl/comments1.xml><?xml version="1.0" encoding="utf-8"?>
<comments xmlns="http://schemas.openxmlformats.org/spreadsheetml/2006/main">
  <authors>
    <author>Denis</author>
  </authors>
  <commentList>
    <comment ref="D244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45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46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50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51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52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53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54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55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56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57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95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96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97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98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99" author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</commentList>
</comments>
</file>

<file path=xl/sharedStrings.xml><?xml version="1.0" encoding="utf-8"?>
<sst xmlns="http://schemas.openxmlformats.org/spreadsheetml/2006/main" count="10133" uniqueCount="1981">
  <si>
    <t>USD - $</t>
  </si>
  <si>
    <t>руб.</t>
  </si>
  <si>
    <t>Модель</t>
  </si>
  <si>
    <t>CY-64</t>
  </si>
  <si>
    <t>CY-124</t>
  </si>
  <si>
    <t>CY-224</t>
  </si>
  <si>
    <t>CY-64C</t>
  </si>
  <si>
    <t>CY-124C</t>
  </si>
  <si>
    <t>CY-224C</t>
  </si>
  <si>
    <t>Класс точности</t>
  </si>
  <si>
    <t>Калибровка</t>
  </si>
  <si>
    <t>Размер платформы</t>
  </si>
  <si>
    <t>Дилерская скидка</t>
  </si>
  <si>
    <t>внешняя</t>
  </si>
  <si>
    <t>специальный (I)</t>
  </si>
  <si>
    <t>внутренняя</t>
  </si>
  <si>
    <t>Ø 90 мм</t>
  </si>
  <si>
    <t>Розничная цена, руб.</t>
  </si>
  <si>
    <t>Дилерская цена, руб.</t>
  </si>
  <si>
    <t>CY-123</t>
  </si>
  <si>
    <t>CY-223</t>
  </si>
  <si>
    <t>CY-323</t>
  </si>
  <si>
    <t>CY-423</t>
  </si>
  <si>
    <t>CY-513</t>
  </si>
  <si>
    <t>CY-723</t>
  </si>
  <si>
    <t>CY-1003</t>
  </si>
  <si>
    <t>CY-223C</t>
  </si>
  <si>
    <t>CY-323C</t>
  </si>
  <si>
    <t>CY-513C</t>
  </si>
  <si>
    <t>CY-1003C</t>
  </si>
  <si>
    <t>128×128 мм</t>
  </si>
  <si>
    <t>высокий (II)</t>
  </si>
  <si>
    <t>CY-1202</t>
  </si>
  <si>
    <t>CY-2202</t>
  </si>
  <si>
    <t>CY-3102</t>
  </si>
  <si>
    <t>CY-4102</t>
  </si>
  <si>
    <t>CY-6102</t>
  </si>
  <si>
    <t>CY-1202C</t>
  </si>
  <si>
    <t>CY-2202C</t>
  </si>
  <si>
    <t>CY-3102C</t>
  </si>
  <si>
    <t>CY-4102C</t>
  </si>
  <si>
    <t>CY-6102C</t>
  </si>
  <si>
    <t>198×205 мм</t>
  </si>
  <si>
    <t>CY-15K</t>
  </si>
  <si>
    <t>CY-20K</t>
  </si>
  <si>
    <t>CY-25K</t>
  </si>
  <si>
    <t>CY-31K</t>
  </si>
  <si>
    <t>CY-60K</t>
  </si>
  <si>
    <t>Наибольший предел взвешивания (НПВ)</t>
  </si>
  <si>
    <t>Цена деления (d)</t>
  </si>
  <si>
    <t>60 г</t>
  </si>
  <si>
    <t>120 г</t>
  </si>
  <si>
    <t>220 г</t>
  </si>
  <si>
    <t>0.0001 г</t>
  </si>
  <si>
    <t>0.001 г</t>
  </si>
  <si>
    <t>0.01 г</t>
  </si>
  <si>
    <t>0.1 г</t>
  </si>
  <si>
    <t>1 г</t>
  </si>
  <si>
    <t>320 г</t>
  </si>
  <si>
    <t>420 г</t>
  </si>
  <si>
    <t>510 г</t>
  </si>
  <si>
    <t>720 г</t>
  </si>
  <si>
    <t>1000 г</t>
  </si>
  <si>
    <t>1200 г</t>
  </si>
  <si>
    <t>2200 г</t>
  </si>
  <si>
    <t>3100 г</t>
  </si>
  <si>
    <t>4100 г</t>
  </si>
  <si>
    <t>6100 г</t>
  </si>
  <si>
    <t>15 кг</t>
  </si>
  <si>
    <t>20 кг</t>
  </si>
  <si>
    <t>25 кг</t>
  </si>
  <si>
    <t>31 кг</t>
  </si>
  <si>
    <t>60 кг</t>
  </si>
  <si>
    <t>400×300 мм</t>
  </si>
  <si>
    <t>Опции и аксессуары:</t>
  </si>
  <si>
    <t>CPR 02 - микропринтер для весов</t>
  </si>
  <si>
    <t>92 г / 220 г</t>
  </si>
  <si>
    <t>0.00001 г / 0.0001 г</t>
  </si>
  <si>
    <t>Ø 80 мм</t>
  </si>
  <si>
    <t>AFDK - комплект для измерения плотности</t>
  </si>
  <si>
    <t>SDI - выносной дисплей (кабель 1,5 м)</t>
  </si>
  <si>
    <t>SDR - выносной дисплей (кабель 3, 5 или 10 м)</t>
  </si>
  <si>
    <t>LAS-05D - ионизатор для снятия статического электричества</t>
  </si>
  <si>
    <t>80 г</t>
  </si>
  <si>
    <t>AJ-220CE</t>
  </si>
  <si>
    <t>AJH-220CE</t>
  </si>
  <si>
    <t>AJ-320CE</t>
  </si>
  <si>
    <t>AJH-320CE</t>
  </si>
  <si>
    <t>AJ-420CE</t>
  </si>
  <si>
    <t>AJH-420CE</t>
  </si>
  <si>
    <t>AJ-620CE</t>
  </si>
  <si>
    <t>AJH-620CE</t>
  </si>
  <si>
    <t>AJ-820CE</t>
  </si>
  <si>
    <t>AJ-1200CE</t>
  </si>
  <si>
    <t>AJ-2200CE</t>
  </si>
  <si>
    <t>AJH-2200CE</t>
  </si>
  <si>
    <t>AJ-3200CE</t>
  </si>
  <si>
    <t>AJH-3200CE</t>
  </si>
  <si>
    <t>AJ-4200CE</t>
  </si>
  <si>
    <t>AJH-4200CE</t>
  </si>
  <si>
    <t>AJ-6200CE</t>
  </si>
  <si>
    <t>AJ-8200CE</t>
  </si>
  <si>
    <t>AJ-12KCE</t>
  </si>
  <si>
    <t>620 г</t>
  </si>
  <si>
    <t>820 г</t>
  </si>
  <si>
    <t>3200 г</t>
  </si>
  <si>
    <t>4200 г</t>
  </si>
  <si>
    <t>6200 г</t>
  </si>
  <si>
    <t>8200 г</t>
  </si>
  <si>
    <t>12 кг</t>
  </si>
  <si>
    <t>Ø 118 мм</t>
  </si>
  <si>
    <t>170×140 мм</t>
  </si>
  <si>
    <t>180×160 мм</t>
  </si>
  <si>
    <t>AJDK - комплект для измерения плотности (для весов с d=0.001 г)</t>
  </si>
  <si>
    <t>AJUH(S) - крюк для взвешивания под весами (для весов с НПВ от 220 г до 1200 г)</t>
  </si>
  <si>
    <t>AJUH(M) - крюк для взвешивания под весами (для весов с НПВ от 2200 г до 12 кг)</t>
  </si>
  <si>
    <t>AJBT(S) - аккумуляторная батарея (для весов с НПВ от 220 г до 1200 г)</t>
  </si>
  <si>
    <t>AJBT(M) - аккумуляторная батарея (для весов с НПВ от 2200 г до 12 кг)</t>
  </si>
  <si>
    <t>SDI - выносной дисплей (кабель 1.5 м)</t>
  </si>
  <si>
    <t>21 кг</t>
  </si>
  <si>
    <t>120×140 мм</t>
  </si>
  <si>
    <t>200×200 мм</t>
  </si>
  <si>
    <t>220×250 мм</t>
  </si>
  <si>
    <t>LNLM - контакт реле (заводская опция)</t>
  </si>
  <si>
    <t>LNR4 - интерфейс RS-422A (заводская опция)</t>
  </si>
  <si>
    <t>LNBZ - звуковой сигнал (заводская опция)</t>
  </si>
  <si>
    <t>SJ-220CE</t>
  </si>
  <si>
    <t>SJ-420CE</t>
  </si>
  <si>
    <t>SJ-620CE</t>
  </si>
  <si>
    <t>SJ-1200CE</t>
  </si>
  <si>
    <t>SJ-2200CE</t>
  </si>
  <si>
    <t>SJ-4200CE</t>
  </si>
  <si>
    <t>SJ-6200CE</t>
  </si>
  <si>
    <t>SJ-12KCE</t>
  </si>
  <si>
    <t>Высокий (II)</t>
  </si>
  <si>
    <t>Ø 140 мм</t>
  </si>
  <si>
    <t>170×142 мм</t>
  </si>
  <si>
    <t>SJBT(S) - аккумуляторная батарея (для весов с НПВ от 220 г до 1200 г)</t>
  </si>
  <si>
    <t>SJLM - контакт реле (заводская опция)</t>
  </si>
  <si>
    <t>SJR - интерфейс RS-232C</t>
  </si>
  <si>
    <t>CJ-220ER</t>
  </si>
  <si>
    <t>CJ-320ER</t>
  </si>
  <si>
    <t>CJ-620ER</t>
  </si>
  <si>
    <t>CJ-820ER</t>
  </si>
  <si>
    <t>CJ-2200ER</t>
  </si>
  <si>
    <t>CJ-3200ER</t>
  </si>
  <si>
    <t>CJ-6200ER</t>
  </si>
  <si>
    <t>CJ-8200ER</t>
  </si>
  <si>
    <t>CJ-15KER</t>
  </si>
  <si>
    <t>190×190 мм</t>
  </si>
  <si>
    <t>AJUH(S) - крюк для взвешивания под весами</t>
  </si>
  <si>
    <t>CJBT - питание от сухих батарей</t>
  </si>
  <si>
    <t>CJLM - контакт реле (заводская опция)</t>
  </si>
  <si>
    <t>CJR4 - интерфейс RS-485A (заводская опция)</t>
  </si>
  <si>
    <t>CJBZ - звуковой сигнал (заводская опция)</t>
  </si>
  <si>
    <t>CJWR - влагозащищенный кабель для RS-232C</t>
  </si>
  <si>
    <t>CJAP(S) - платформа с корзиной для взвешивания животных (НПВ 620 г и 820 г)</t>
  </si>
  <si>
    <t>CJAP(M) - платформа с корзиной для взвешивания животных (НПВ 2200~6200 г)</t>
  </si>
  <si>
    <t>CJAP(L) - платформа с корзиной для взвешивания животных (НПВ 8200 г и 15 кг)</t>
  </si>
  <si>
    <t>HJ-17KSCE</t>
  </si>
  <si>
    <t>HJR-17KSCE</t>
  </si>
  <si>
    <t>HJ-22KSCE</t>
  </si>
  <si>
    <t>HJR-22KSCE</t>
  </si>
  <si>
    <t>HJ-33KSCE</t>
  </si>
  <si>
    <t>HJR-33KSCE</t>
  </si>
  <si>
    <t>HJ-62KDSCE</t>
  </si>
  <si>
    <t>HJR-62KDSCE</t>
  </si>
  <si>
    <t xml:space="preserve">17 кг </t>
  </si>
  <si>
    <t>22 кг</t>
  </si>
  <si>
    <t>33 кг</t>
  </si>
  <si>
    <t>6200 г / 62 кг</t>
  </si>
  <si>
    <t>0.1 г / 1 г</t>
  </si>
  <si>
    <t>встроенная</t>
  </si>
  <si>
    <t>400×350 мм</t>
  </si>
  <si>
    <t>HJKPK - стойка для дисплея</t>
  </si>
  <si>
    <t>HJKBT - аккумуляторная батарея</t>
  </si>
  <si>
    <t>HJKUH - крюк для взвешивания под весами</t>
  </si>
  <si>
    <t>HJKLM - контакт реле (заводская опция)</t>
  </si>
  <si>
    <t>HJKR4 - интерфейс RS-422A (заводская опция)</t>
  </si>
  <si>
    <t>HJKBZ - звуковой сигнал (заводская опция)</t>
  </si>
  <si>
    <t>HJKPC5 - удлиненный кабель 5 м (заводская опция)</t>
  </si>
  <si>
    <t>HJKPC10 - удлиненный кабель 10 м (заводская опция)</t>
  </si>
  <si>
    <t>2000 г</t>
  </si>
  <si>
    <t>6000 г</t>
  </si>
  <si>
    <t>30 кг</t>
  </si>
  <si>
    <t>610 г</t>
  </si>
  <si>
    <t>1500 г</t>
  </si>
  <si>
    <t>5 г</t>
  </si>
  <si>
    <t>Ø 170 мм</t>
  </si>
  <si>
    <t>GZII-2000CEX</t>
  </si>
  <si>
    <t>GZII-B2000CEX</t>
  </si>
  <si>
    <t>GZII-6000CEX</t>
  </si>
  <si>
    <t>GZII-B6000CEX</t>
  </si>
  <si>
    <t>GZII-12KCEX</t>
  </si>
  <si>
    <t>GZII-B12KCEX</t>
  </si>
  <si>
    <t>GZII-30KCEX</t>
  </si>
  <si>
    <t>GZII-B30KCEX</t>
  </si>
  <si>
    <t>GZII-60KCEX</t>
  </si>
  <si>
    <t>GZII-B60KCEX</t>
  </si>
  <si>
    <t>GZH-610CEX</t>
  </si>
  <si>
    <t>GZH-B610CEX</t>
  </si>
  <si>
    <t>GZH-1500CEX</t>
  </si>
  <si>
    <t>GZH-B1500CEX</t>
  </si>
  <si>
    <t>GZH-3100CEX</t>
  </si>
  <si>
    <t>GZH-B3100CEX</t>
  </si>
  <si>
    <t>GZH-6100CEX</t>
  </si>
  <si>
    <t>GZH-B6100CEX</t>
  </si>
  <si>
    <t>GZH-30KCEX</t>
  </si>
  <si>
    <t>GZH-B30KCEX</t>
  </si>
  <si>
    <t>250×202 мм</t>
  </si>
  <si>
    <t>360×326 мм</t>
  </si>
  <si>
    <t>270×250 мм</t>
  </si>
  <si>
    <t>GZ-DS - выносная подставка для дисплея</t>
  </si>
  <si>
    <t>GZ-PC - удлиненный кабель (до 100 м, цена за каждые 5 м)</t>
  </si>
  <si>
    <t>GZ-R2 - интерфейс RS-232C (только для весов с блоком питания GZR230)</t>
  </si>
  <si>
    <t>GZ-R4 - интерфейс RS-422A (только для весов с блоком питания GZR230)</t>
  </si>
  <si>
    <t>1100 г</t>
  </si>
  <si>
    <t>2100 г</t>
  </si>
  <si>
    <t>5100 г</t>
  </si>
  <si>
    <t>0.005 г</t>
  </si>
  <si>
    <t>0.02 г</t>
  </si>
  <si>
    <t>0.05 г</t>
  </si>
  <si>
    <t>-</t>
  </si>
  <si>
    <t>не определен</t>
  </si>
  <si>
    <t>HCB 123</t>
  </si>
  <si>
    <t>HCB 153</t>
  </si>
  <si>
    <t>HCB 302</t>
  </si>
  <si>
    <t>HCB 602H</t>
  </si>
  <si>
    <t>HCB 602</t>
  </si>
  <si>
    <t>HCB 1002</t>
  </si>
  <si>
    <t>HCB 1502</t>
  </si>
  <si>
    <t>HCB 3001</t>
  </si>
  <si>
    <t>150 г</t>
  </si>
  <si>
    <t>300 г</t>
  </si>
  <si>
    <t>600 г</t>
  </si>
  <si>
    <t>3000 г</t>
  </si>
  <si>
    <t>Средний (III)</t>
  </si>
  <si>
    <t>Ø 120 мм</t>
  </si>
  <si>
    <t>DCT 201</t>
  </si>
  <si>
    <t>DCT 2000</t>
  </si>
  <si>
    <t>DCT 5000</t>
  </si>
  <si>
    <t>200 г</t>
  </si>
  <si>
    <t>5000 г</t>
  </si>
  <si>
    <t>0,1 г</t>
  </si>
  <si>
    <t>2 г</t>
  </si>
  <si>
    <t>145×145 мм</t>
  </si>
  <si>
    <t>JW-1-200</t>
  </si>
  <si>
    <t>JW-1-300</t>
  </si>
  <si>
    <t>JW-1-600</t>
  </si>
  <si>
    <t>JW-1-1500</t>
  </si>
  <si>
    <t>JW-1-2000</t>
  </si>
  <si>
    <t>JW-1-3000</t>
  </si>
  <si>
    <t>Ø 123 мм</t>
  </si>
  <si>
    <t>Ø 180 мм</t>
  </si>
  <si>
    <t>JWBT - питание от батарей AA 6x1.5V</t>
  </si>
  <si>
    <t>JWUH - крюк для взвешивания под весами</t>
  </si>
  <si>
    <t>JW-1C-200</t>
  </si>
  <si>
    <t>JW-1C-500</t>
  </si>
  <si>
    <t>JW-1C-1000</t>
  </si>
  <si>
    <t>JW-1C-2000</t>
  </si>
  <si>
    <t>500 г</t>
  </si>
  <si>
    <t>0.2 г</t>
  </si>
  <si>
    <t>6 кг / 15 кг</t>
  </si>
  <si>
    <t>3 кг / 6 кг</t>
  </si>
  <si>
    <t>15 кг / 30 кг</t>
  </si>
  <si>
    <t>0.5 г / 1 г</t>
  </si>
  <si>
    <t>1 г / 2 г</t>
  </si>
  <si>
    <t>2 г / 5 г</t>
  </si>
  <si>
    <t>5 г / 10 г</t>
  </si>
  <si>
    <t>5 кг</t>
  </si>
  <si>
    <t>10 кг</t>
  </si>
  <si>
    <t>0.5 г</t>
  </si>
  <si>
    <t>350×270 мм</t>
  </si>
  <si>
    <t>средний (III)</t>
  </si>
  <si>
    <t>AC-100-5</t>
  </si>
  <si>
    <t>AC-100-10</t>
  </si>
  <si>
    <t>AC-100-20</t>
  </si>
  <si>
    <t>AC-100-30</t>
  </si>
  <si>
    <t>ВЛ-124</t>
  </si>
  <si>
    <t>ВЛ-224</t>
  </si>
  <si>
    <t>ВЛ-124В</t>
  </si>
  <si>
    <t>ВЛ-224В</t>
  </si>
  <si>
    <t>ВЛ-120С</t>
  </si>
  <si>
    <t>ВЛ-220С</t>
  </si>
  <si>
    <t>ВЛ-320С</t>
  </si>
  <si>
    <t>Ø 91 мм</t>
  </si>
  <si>
    <t>ВЛТЭ-1100</t>
  </si>
  <si>
    <t>ВЛТЭ-2100</t>
  </si>
  <si>
    <t>ВЛТЭ-2100/5100</t>
  </si>
  <si>
    <t>ВЛТЭ-6100</t>
  </si>
  <si>
    <t>210 г</t>
  </si>
  <si>
    <t>310 г</t>
  </si>
  <si>
    <t>210 г / 510 г</t>
  </si>
  <si>
    <t>2100 г / 5100 г</t>
  </si>
  <si>
    <t>0.001 г / 0.01 г</t>
  </si>
  <si>
    <t>0.01 г / 0.1 г</t>
  </si>
  <si>
    <t>Ø 116 мм</t>
  </si>
  <si>
    <t>175×145 мм</t>
  </si>
  <si>
    <t>Ø 85 мм</t>
  </si>
  <si>
    <t>ВМ-153М-II</t>
  </si>
  <si>
    <t>ВМ-213М-II</t>
  </si>
  <si>
    <t>ВМ-313М-II</t>
  </si>
  <si>
    <t>ВМ-510ДМ-II</t>
  </si>
  <si>
    <t>ВМ-512М-II</t>
  </si>
  <si>
    <t>ВМ-1502М-II</t>
  </si>
  <si>
    <t>ВМ-2202М-II</t>
  </si>
  <si>
    <t>ВМ-5101М-II</t>
  </si>
  <si>
    <t>ВМ-6101М-II</t>
  </si>
  <si>
    <t>ВМ-12001М-II</t>
  </si>
  <si>
    <t>ВМ-24001М-II</t>
  </si>
  <si>
    <t>24 кг</t>
  </si>
  <si>
    <t>145×125 мм</t>
  </si>
  <si>
    <t>335×240 мм</t>
  </si>
  <si>
    <t>ВМ-153</t>
  </si>
  <si>
    <t>ВМ-213</t>
  </si>
  <si>
    <t>ВМ-313</t>
  </si>
  <si>
    <t>ВМ-510Д</t>
  </si>
  <si>
    <t>ВМ-512</t>
  </si>
  <si>
    <t>ВМ-1502</t>
  </si>
  <si>
    <t>ВМ-2202</t>
  </si>
  <si>
    <t>ВМ-5101</t>
  </si>
  <si>
    <t>ВМ-6101</t>
  </si>
  <si>
    <t>ВМ-12001</t>
  </si>
  <si>
    <t>ВМ-24001</t>
  </si>
  <si>
    <t>ВМ-153М</t>
  </si>
  <si>
    <t>ВМ-213М</t>
  </si>
  <si>
    <t>ВМ-313М</t>
  </si>
  <si>
    <t>ВМ-510ДМ</t>
  </si>
  <si>
    <t>ВМ-512М</t>
  </si>
  <si>
    <t>СЕ 124-С</t>
  </si>
  <si>
    <t>СЕ 224-С</t>
  </si>
  <si>
    <t>СЕ 153-С</t>
  </si>
  <si>
    <t>СЕ 323-С</t>
  </si>
  <si>
    <t>СЕ 423-С</t>
  </si>
  <si>
    <t>СЕ 623-С</t>
  </si>
  <si>
    <t>СЕ 612-С</t>
  </si>
  <si>
    <t>СЕ 812-С</t>
  </si>
  <si>
    <t>СЕ 1502-С</t>
  </si>
  <si>
    <t>СЕ 2202-С</t>
  </si>
  <si>
    <t>СЕ 4202-С</t>
  </si>
  <si>
    <t>СЕ 6101-С</t>
  </si>
  <si>
    <t>СЕ 8101-С</t>
  </si>
  <si>
    <t>СЕ 6202-С</t>
  </si>
  <si>
    <t>810 г</t>
  </si>
  <si>
    <t>8100 г</t>
  </si>
  <si>
    <t>Ø 115 мм</t>
  </si>
  <si>
    <t>180×180 мм</t>
  </si>
  <si>
    <t>ВК-300</t>
  </si>
  <si>
    <t>ВК-600</t>
  </si>
  <si>
    <t>ВК-1500</t>
  </si>
  <si>
    <t>ВК-3000</t>
  </si>
  <si>
    <t>ВК-150.1</t>
  </si>
  <si>
    <t>ВК-300.1</t>
  </si>
  <si>
    <t>ВК-600.1</t>
  </si>
  <si>
    <t>ВК-1500.1</t>
  </si>
  <si>
    <t>ВК-3000.1</t>
  </si>
  <si>
    <t>136×162 мм</t>
  </si>
  <si>
    <t>МК-3.2-А20</t>
  </si>
  <si>
    <t>МК-6.2-А20</t>
  </si>
  <si>
    <t>МК-15.2-А20</t>
  </si>
  <si>
    <t>МК-32.2-А20</t>
  </si>
  <si>
    <t>МК-3.2-А11</t>
  </si>
  <si>
    <t>МК-6.2-А11</t>
  </si>
  <si>
    <t>МК-15.2-А11</t>
  </si>
  <si>
    <t>МК-32.2-А11</t>
  </si>
  <si>
    <t>МК-3.2-А21</t>
  </si>
  <si>
    <t>МК-6.2-А21</t>
  </si>
  <si>
    <t>МК-15.2-А21</t>
  </si>
  <si>
    <t>МК-32.2-А21</t>
  </si>
  <si>
    <t>1.5 кг / 3 кг</t>
  </si>
  <si>
    <t>15 кг / 32 кг</t>
  </si>
  <si>
    <t>345×245 мм</t>
  </si>
  <si>
    <t>MS-70</t>
  </si>
  <si>
    <t>MX-50</t>
  </si>
  <si>
    <t>MF-50</t>
  </si>
  <si>
    <t>ML-50</t>
  </si>
  <si>
    <t>71 г</t>
  </si>
  <si>
    <t>51 г</t>
  </si>
  <si>
    <t>0.0001 г / 0.001 %</t>
  </si>
  <si>
    <t>0.001 г / 0.01 %</t>
  </si>
  <si>
    <t>0.002 г / 0.05 %</t>
  </si>
  <si>
    <t>0.005 г / 0.1 %</t>
  </si>
  <si>
    <t>SV-10</t>
  </si>
  <si>
    <t>SV-100</t>
  </si>
  <si>
    <t>SV-1A</t>
  </si>
  <si>
    <t>SV-10A</t>
  </si>
  <si>
    <t>SV-100A</t>
  </si>
  <si>
    <t>Диапазон измерений</t>
  </si>
  <si>
    <t>0.3-10000 мПа*с</t>
  </si>
  <si>
    <t>1-100 Па*с</t>
  </si>
  <si>
    <t>0.3-1000 мПа*с</t>
  </si>
  <si>
    <t>Мин. размер образца, мл</t>
  </si>
  <si>
    <t>22 г</t>
  </si>
  <si>
    <t>0.000001 г</t>
  </si>
  <si>
    <t>5.1 г / 22 г</t>
  </si>
  <si>
    <t>Ø 25 мм</t>
  </si>
  <si>
    <t>250 г</t>
  </si>
  <si>
    <t>0.00001 г</t>
  </si>
  <si>
    <t>GR-202</t>
  </si>
  <si>
    <t>42 г / 210 г</t>
  </si>
  <si>
    <t>0.000001 г / 0.00001 г</t>
  </si>
  <si>
    <t>GH-202</t>
  </si>
  <si>
    <t>GH-252</t>
  </si>
  <si>
    <t>51 г / 220 г</t>
  </si>
  <si>
    <t>101 г / 250 г</t>
  </si>
  <si>
    <t>520 г</t>
  </si>
  <si>
    <t>GR-120</t>
  </si>
  <si>
    <t>GR-200</t>
  </si>
  <si>
    <t>GR-300</t>
  </si>
  <si>
    <t>GH-120</t>
  </si>
  <si>
    <t>GH-200</t>
  </si>
  <si>
    <t>GH-300</t>
  </si>
  <si>
    <t>HR-100AG</t>
  </si>
  <si>
    <t>HR-150AG</t>
  </si>
  <si>
    <t>HR-250AG</t>
  </si>
  <si>
    <t>HR-251AG</t>
  </si>
  <si>
    <t>HR-100AZG</t>
  </si>
  <si>
    <t>HR-150AZG</t>
  </si>
  <si>
    <t>HR-250AZG</t>
  </si>
  <si>
    <t>HR-251AZG</t>
  </si>
  <si>
    <t>102 г</t>
  </si>
  <si>
    <t>152 г</t>
  </si>
  <si>
    <t>252 г</t>
  </si>
  <si>
    <t>61 г / 252 г</t>
  </si>
  <si>
    <t>0.0001 г / 0.001 г</t>
  </si>
  <si>
    <t>DL-120</t>
  </si>
  <si>
    <t>DL-200</t>
  </si>
  <si>
    <t>DL-300</t>
  </si>
  <si>
    <t>DL-1200</t>
  </si>
  <si>
    <t>DL-2000</t>
  </si>
  <si>
    <t>DL-3000</t>
  </si>
  <si>
    <t>DL-500</t>
  </si>
  <si>
    <t>DL-5000</t>
  </si>
  <si>
    <t>Ø 130 мм</t>
  </si>
  <si>
    <t>Ø 150 мм</t>
  </si>
  <si>
    <t>122 г</t>
  </si>
  <si>
    <t>1220 г</t>
  </si>
  <si>
    <t>5200 г</t>
  </si>
  <si>
    <t>DL-120WP</t>
  </si>
  <si>
    <t>DL-200WP</t>
  </si>
  <si>
    <t>DL-300WP</t>
  </si>
  <si>
    <t>DL-1200WP</t>
  </si>
  <si>
    <t>DL-2000WP</t>
  </si>
  <si>
    <t>DL-3000WP</t>
  </si>
  <si>
    <t>DX-120</t>
  </si>
  <si>
    <t>DX-200</t>
  </si>
  <si>
    <t>DX-300</t>
  </si>
  <si>
    <t>DX-1200</t>
  </si>
  <si>
    <t>DX-2000</t>
  </si>
  <si>
    <t>DX-3000</t>
  </si>
  <si>
    <t>DX-120WP</t>
  </si>
  <si>
    <t>DX-200WP</t>
  </si>
  <si>
    <t>DX-300WP</t>
  </si>
  <si>
    <t>DX-1200WP</t>
  </si>
  <si>
    <t>DX-2000WP</t>
  </si>
  <si>
    <t>DX-3000WP</t>
  </si>
  <si>
    <t>GX-200</t>
  </si>
  <si>
    <t>GX-400</t>
  </si>
  <si>
    <t>GX-600</t>
  </si>
  <si>
    <t>GX-800</t>
  </si>
  <si>
    <t>GX-1000</t>
  </si>
  <si>
    <t>GX-2000</t>
  </si>
  <si>
    <t>GX-4000</t>
  </si>
  <si>
    <t>GX-6100</t>
  </si>
  <si>
    <t>GX-6000</t>
  </si>
  <si>
    <t>GX-8000</t>
  </si>
  <si>
    <t>410 г</t>
  </si>
  <si>
    <t>165×165 мм</t>
  </si>
  <si>
    <t>GF-200</t>
  </si>
  <si>
    <t>GF-300</t>
  </si>
  <si>
    <t>GF-400</t>
  </si>
  <si>
    <t>GF-600</t>
  </si>
  <si>
    <t>GF-800</t>
  </si>
  <si>
    <t>GF-1000</t>
  </si>
  <si>
    <t>GF-1200</t>
  </si>
  <si>
    <t>GF-2000</t>
  </si>
  <si>
    <t>GF-3000</t>
  </si>
  <si>
    <t>GF-4000</t>
  </si>
  <si>
    <t>GF-6100</t>
  </si>
  <si>
    <t>GF-6000</t>
  </si>
  <si>
    <t>GF-8000</t>
  </si>
  <si>
    <t>1210 г</t>
  </si>
  <si>
    <t>GP-12K</t>
  </si>
  <si>
    <t>GP-20K</t>
  </si>
  <si>
    <t>GP-30K</t>
  </si>
  <si>
    <t>GP-30KS</t>
  </si>
  <si>
    <t>GP-32K</t>
  </si>
  <si>
    <t xml:space="preserve">GP-32KS </t>
  </si>
  <si>
    <t>GP-40K</t>
  </si>
  <si>
    <t>GP-60K</t>
  </si>
  <si>
    <t xml:space="preserve">GP-61K </t>
  </si>
  <si>
    <t xml:space="preserve">GP-61KS </t>
  </si>
  <si>
    <t>GP-100K</t>
  </si>
  <si>
    <t>GP-102K</t>
  </si>
  <si>
    <t>GP-100KS</t>
  </si>
  <si>
    <t>41 кг</t>
  </si>
  <si>
    <t>61 кг</t>
  </si>
  <si>
    <t>101 кг</t>
  </si>
  <si>
    <t>6.1 кг / 31 кг</t>
  </si>
  <si>
    <t>61 кг / 101 кг</t>
  </si>
  <si>
    <t>1 г / 10 г</t>
  </si>
  <si>
    <t>EK-120i</t>
  </si>
  <si>
    <t>EK-200i</t>
  </si>
  <si>
    <t>EK-300i</t>
  </si>
  <si>
    <t>EK-410i</t>
  </si>
  <si>
    <t>EK-610i</t>
  </si>
  <si>
    <t>EK-600i</t>
  </si>
  <si>
    <t>EK-1200i</t>
  </si>
  <si>
    <t>EK-2000i</t>
  </si>
  <si>
    <t>EK-3000i</t>
  </si>
  <si>
    <t>EK-4100i</t>
  </si>
  <si>
    <t>EK-6100i</t>
  </si>
  <si>
    <t>EK-6000i</t>
  </si>
  <si>
    <t>EK-12Ki</t>
  </si>
  <si>
    <t>EW-150i</t>
  </si>
  <si>
    <t>EW-1500i</t>
  </si>
  <si>
    <t>EW-12Ki</t>
  </si>
  <si>
    <t>400 г</t>
  </si>
  <si>
    <t>4000 г</t>
  </si>
  <si>
    <t>30 г / 60 г / 150 г</t>
  </si>
  <si>
    <t>300 г / 600 г / 1500 г</t>
  </si>
  <si>
    <t>3000 г / 6000 г / 12 кг</t>
  </si>
  <si>
    <t>0.01 г / 0.02 г / 0.05 г</t>
  </si>
  <si>
    <t>0.1 г / 0.2 г / 0.5 г</t>
  </si>
  <si>
    <t>1 г / 2 г / 5 г</t>
  </si>
  <si>
    <t>384×344 мм</t>
  </si>
  <si>
    <t>386×346 мм</t>
  </si>
  <si>
    <t>Ø 110 мм</t>
  </si>
  <si>
    <t>133×170 мм</t>
  </si>
  <si>
    <t>NP-1000S</t>
  </si>
  <si>
    <t>NP-2000S</t>
  </si>
  <si>
    <t>NP-5000S</t>
  </si>
  <si>
    <t>NP-5001S</t>
  </si>
  <si>
    <t>NP-12KS</t>
  </si>
  <si>
    <t>NP-20KS</t>
  </si>
  <si>
    <t>NP-30KS</t>
  </si>
  <si>
    <t>1 кг</t>
  </si>
  <si>
    <t>2 кг</t>
  </si>
  <si>
    <t>10 г</t>
  </si>
  <si>
    <t>20 г</t>
  </si>
  <si>
    <t>230×190 мм</t>
  </si>
  <si>
    <t>SK-1000WP</t>
  </si>
  <si>
    <t>SK-2000WP</t>
  </si>
  <si>
    <t>SK-5000WP</t>
  </si>
  <si>
    <t>SK-5001WP</t>
  </si>
  <si>
    <t>SK-10KWP</t>
  </si>
  <si>
    <t>SK-20KWP</t>
  </si>
  <si>
    <t>HL-200i</t>
  </si>
  <si>
    <t>HL-2000i</t>
  </si>
  <si>
    <t>HJ-150</t>
  </si>
  <si>
    <t>60×64 мм</t>
  </si>
  <si>
    <t>HL-300WP</t>
  </si>
  <si>
    <t>HL-1000WP</t>
  </si>
  <si>
    <t>HL-3000WP</t>
  </si>
  <si>
    <t>HL-3000LWP</t>
  </si>
  <si>
    <t>3 кг</t>
  </si>
  <si>
    <t>126×126 мм</t>
  </si>
  <si>
    <t>174×137 мм</t>
  </si>
  <si>
    <t>HT-300</t>
  </si>
  <si>
    <t>HT-500</t>
  </si>
  <si>
    <t>HT-3000</t>
  </si>
  <si>
    <t>HT-5000</t>
  </si>
  <si>
    <t>132×130 мм</t>
  </si>
  <si>
    <t>FC-500i</t>
  </si>
  <si>
    <t>FC-1000i</t>
  </si>
  <si>
    <t>FC-2000i</t>
  </si>
  <si>
    <t>FC-5000i</t>
  </si>
  <si>
    <t>FC-10Ki</t>
  </si>
  <si>
    <t>FC-20Ki</t>
  </si>
  <si>
    <t>FC-50Ki</t>
  </si>
  <si>
    <t>FC-500Si</t>
  </si>
  <si>
    <t>FC-5000Si</t>
  </si>
  <si>
    <t>50 кг</t>
  </si>
  <si>
    <t>205×152 мм</t>
  </si>
  <si>
    <t>300×280 мм</t>
  </si>
  <si>
    <t>FS-6Ki</t>
  </si>
  <si>
    <t>FS-15Ki</t>
  </si>
  <si>
    <t>FS-30Ki</t>
  </si>
  <si>
    <t>6 кг</t>
  </si>
  <si>
    <t>250×250 мм</t>
  </si>
  <si>
    <t>380×300 мм</t>
  </si>
  <si>
    <t>FG-30KAM</t>
  </si>
  <si>
    <t>FG-60KAM</t>
  </si>
  <si>
    <t>FG-150KAM</t>
  </si>
  <si>
    <t>FG-30KBM</t>
  </si>
  <si>
    <t>FG-60KBM</t>
  </si>
  <si>
    <t>FG-150KBM</t>
  </si>
  <si>
    <t>FG-60KAL</t>
  </si>
  <si>
    <t>FG-150KAL</t>
  </si>
  <si>
    <t>150 кг</t>
  </si>
  <si>
    <t>390×530 мм</t>
  </si>
  <si>
    <t>300×380 мм</t>
  </si>
  <si>
    <t>HV-15KVWP</t>
  </si>
  <si>
    <t>HV-60KVWP</t>
  </si>
  <si>
    <t>HV-200KVWP</t>
  </si>
  <si>
    <t>HW-10KVWP</t>
  </si>
  <si>
    <t>HW-60KVWP</t>
  </si>
  <si>
    <t>HW-100KVWP</t>
  </si>
  <si>
    <t>HW-200KVWP</t>
  </si>
  <si>
    <t>3 кг / 6 кг / 15 кг</t>
  </si>
  <si>
    <t>15 кг / 30 кг / 60 кг</t>
  </si>
  <si>
    <t>60 кг / 150 кг / 220 кг</t>
  </si>
  <si>
    <t>100 кг</t>
  </si>
  <si>
    <t>220 кг</t>
  </si>
  <si>
    <t>5 г / 10 г / 20 г</t>
  </si>
  <si>
    <t>20 г / 50 г / 100 г</t>
  </si>
  <si>
    <t>330×424 мм</t>
  </si>
  <si>
    <t>HV-15KGL</t>
  </si>
  <si>
    <t>HV-60KGL</t>
  </si>
  <si>
    <t>HV-200KGL</t>
  </si>
  <si>
    <t>HV-15KGV</t>
  </si>
  <si>
    <t>HV-60KGV</t>
  </si>
  <si>
    <t>HV-200KGV</t>
  </si>
  <si>
    <t>HW-10KGL</t>
  </si>
  <si>
    <t>HW-100KGL</t>
  </si>
  <si>
    <t>HW-10KGV</t>
  </si>
  <si>
    <t>HW-100KGV</t>
  </si>
  <si>
    <t>SW-6KS</t>
  </si>
  <si>
    <t>SW-15KS</t>
  </si>
  <si>
    <t>SW-15KM</t>
  </si>
  <si>
    <t>EМ-30KAM</t>
  </si>
  <si>
    <t>EМ-60KAM</t>
  </si>
  <si>
    <t>EМ-60KAL</t>
  </si>
  <si>
    <t>EM-150KAL</t>
  </si>
  <si>
    <t>EM-300KAX</t>
  </si>
  <si>
    <t>300×350 мм</t>
  </si>
  <si>
    <t>400×500 мм</t>
  </si>
  <si>
    <t>500×600 мм</t>
  </si>
  <si>
    <t>300 кг</t>
  </si>
  <si>
    <t>110 г</t>
  </si>
  <si>
    <t>PA-64</t>
  </si>
  <si>
    <t>PA-64C</t>
  </si>
  <si>
    <t>PA-114</t>
  </si>
  <si>
    <t>PA-114C</t>
  </si>
  <si>
    <t>PA-214</t>
  </si>
  <si>
    <t>PA-214C</t>
  </si>
  <si>
    <t>65 г</t>
  </si>
  <si>
    <t>PA-213</t>
  </si>
  <si>
    <t>PA-213C</t>
  </si>
  <si>
    <t>PA-413</t>
  </si>
  <si>
    <t>PA-413C</t>
  </si>
  <si>
    <t>PA-512</t>
  </si>
  <si>
    <t>PA-512C</t>
  </si>
  <si>
    <t>PA-2102</t>
  </si>
  <si>
    <t>PA-2102C</t>
  </si>
  <si>
    <t>PA-4102</t>
  </si>
  <si>
    <t>PA-4102C</t>
  </si>
  <si>
    <t>EX-124</t>
  </si>
  <si>
    <t>EX-124/AD</t>
  </si>
  <si>
    <t>EX-224</t>
  </si>
  <si>
    <t>EX-224/AD</t>
  </si>
  <si>
    <t>EX-324</t>
  </si>
  <si>
    <t>EX-324/AD</t>
  </si>
  <si>
    <t>EX-223</t>
  </si>
  <si>
    <t>EX-423</t>
  </si>
  <si>
    <t>EX-623</t>
  </si>
  <si>
    <t>EX-1103</t>
  </si>
  <si>
    <t>EX-2202</t>
  </si>
  <si>
    <t>EX-4202</t>
  </si>
  <si>
    <t>EX-6202</t>
  </si>
  <si>
    <t>EX-6201</t>
  </si>
  <si>
    <t>EX-10202</t>
  </si>
  <si>
    <t>EX-10201</t>
  </si>
  <si>
    <t>10200 г</t>
  </si>
  <si>
    <t>190×200 мм</t>
  </si>
  <si>
    <t>MB-23</t>
  </si>
  <si>
    <t>MB-25</t>
  </si>
  <si>
    <t>35 г</t>
  </si>
  <si>
    <t>0.01 / 0.1%</t>
  </si>
  <si>
    <t>0.005 / 0.05%</t>
  </si>
  <si>
    <t>0.001 / 0.01%</t>
  </si>
  <si>
    <t>CAUW-120D</t>
  </si>
  <si>
    <t>CAUW-220D</t>
  </si>
  <si>
    <t>CAUY-120</t>
  </si>
  <si>
    <t>CAUY-220</t>
  </si>
  <si>
    <t>CAUX-120</t>
  </si>
  <si>
    <t>CAUX-220</t>
  </si>
  <si>
    <t>CAUX-320</t>
  </si>
  <si>
    <t>CAUW-220</t>
  </si>
  <si>
    <t>CAUW-320</t>
  </si>
  <si>
    <t>CAUW-120</t>
  </si>
  <si>
    <t>42 г / 120 г</t>
  </si>
  <si>
    <t>82 г / 220 г</t>
  </si>
  <si>
    <t>CMK-401 - комплект для определения плотности</t>
  </si>
  <si>
    <t>CUX-220H</t>
  </si>
  <si>
    <t>CUX-420H</t>
  </si>
  <si>
    <t>CUX-620H</t>
  </si>
  <si>
    <t>CUX-420S</t>
  </si>
  <si>
    <t>CUX-820S</t>
  </si>
  <si>
    <t>CUX-2200H</t>
  </si>
  <si>
    <t>CUX-4200H</t>
  </si>
  <si>
    <t>CUX-6200H</t>
  </si>
  <si>
    <t>CUX-8200S</t>
  </si>
  <si>
    <t>CUW-220H</t>
  </si>
  <si>
    <t>CUW-420H</t>
  </si>
  <si>
    <t>CUW-620HV</t>
  </si>
  <si>
    <t>CUW-420S</t>
  </si>
  <si>
    <t>CUW-820S</t>
  </si>
  <si>
    <t>CUW-2200H</t>
  </si>
  <si>
    <t>CUW-4200H</t>
  </si>
  <si>
    <t>CUW-6200HV</t>
  </si>
  <si>
    <t>CUW-4200S</t>
  </si>
  <si>
    <t>CUW-8200S</t>
  </si>
  <si>
    <t>CUW-620H</t>
  </si>
  <si>
    <t>CUW-6200H</t>
  </si>
  <si>
    <t>108×105 мм</t>
  </si>
  <si>
    <t>170×180 мм</t>
  </si>
  <si>
    <t>MWP-150</t>
  </si>
  <si>
    <t>MWP-300</t>
  </si>
  <si>
    <t>MWP-300H</t>
  </si>
  <si>
    <t>MWP-600</t>
  </si>
  <si>
    <t>MWP-1500</t>
  </si>
  <si>
    <t>MWP-3000</t>
  </si>
  <si>
    <t>MWP-3000H</t>
  </si>
  <si>
    <t>124×144 мм</t>
  </si>
  <si>
    <t>CBL-220H</t>
  </si>
  <si>
    <t>CBL-320H</t>
  </si>
  <si>
    <t>CBL-2200H</t>
  </si>
  <si>
    <t>CBL-3200H</t>
  </si>
  <si>
    <t>100×100 мм</t>
  </si>
  <si>
    <t>160×124 мм</t>
  </si>
  <si>
    <t>CBX-12KH</t>
  </si>
  <si>
    <t>CBX-22KH</t>
  </si>
  <si>
    <t>CBX-32KH</t>
  </si>
  <si>
    <t>CBX-32KS</t>
  </si>
  <si>
    <t>CBX-52KS</t>
  </si>
  <si>
    <t>32 кг</t>
  </si>
  <si>
    <t>52 кг</t>
  </si>
  <si>
    <t>345×250 мм</t>
  </si>
  <si>
    <t>ED-3H</t>
  </si>
  <si>
    <t>ED-6H</t>
  </si>
  <si>
    <t>ED-15H</t>
  </si>
  <si>
    <t>ED-30H</t>
  </si>
  <si>
    <t>306×222 мм</t>
  </si>
  <si>
    <t>AD-2.5</t>
  </si>
  <si>
    <t>AD-5</t>
  </si>
  <si>
    <t>AD-5H</t>
  </si>
  <si>
    <t>AD-10</t>
  </si>
  <si>
    <t>AD-10H</t>
  </si>
  <si>
    <t>AD-20H</t>
  </si>
  <si>
    <t>AD-25</t>
  </si>
  <si>
    <t>2.5 кг</t>
  </si>
  <si>
    <t>340×215 мм</t>
  </si>
  <si>
    <t>PW-2H</t>
  </si>
  <si>
    <t>PW-5H</t>
  </si>
  <si>
    <t>PW-10H</t>
  </si>
  <si>
    <t>220×150 мм</t>
  </si>
  <si>
    <t>SW-2</t>
  </si>
  <si>
    <t>SW-5</t>
  </si>
  <si>
    <t>SW-10</t>
  </si>
  <si>
    <t>SW-20</t>
  </si>
  <si>
    <t>SW-5W</t>
  </si>
  <si>
    <t>SW-10W</t>
  </si>
  <si>
    <t>SW-20W</t>
  </si>
  <si>
    <t>SW-2 (DD)</t>
  </si>
  <si>
    <t>SW-5 (DD)</t>
  </si>
  <si>
    <t>SW-10 (DD)</t>
  </si>
  <si>
    <t>SW-20 (DD)</t>
  </si>
  <si>
    <t>SW-5W (DD)</t>
  </si>
  <si>
    <t>239×190 мм</t>
  </si>
  <si>
    <t>247×195 мм</t>
  </si>
  <si>
    <t>Кожух пылевлагозащитный (прозрачный пластик)</t>
  </si>
  <si>
    <t>Платформа из нержавеющей стали для весов SW</t>
  </si>
  <si>
    <t>Платформа-чаша из нержавеющей стали для весов SW</t>
  </si>
  <si>
    <t>SWII-2</t>
  </si>
  <si>
    <t>SWII-5</t>
  </si>
  <si>
    <t>SWII-10</t>
  </si>
  <si>
    <t>SWII-30</t>
  </si>
  <si>
    <t>SWII-5P</t>
  </si>
  <si>
    <t>SWII-10P</t>
  </si>
  <si>
    <t>SWII-30P</t>
  </si>
  <si>
    <t>CS-2.5</t>
  </si>
  <si>
    <t>CS-5</t>
  </si>
  <si>
    <t>CS-10</t>
  </si>
  <si>
    <t>CS-25</t>
  </si>
  <si>
    <t>EC-3</t>
  </si>
  <si>
    <t>EC-6</t>
  </si>
  <si>
    <t>EC-15</t>
  </si>
  <si>
    <t>EC-30</t>
  </si>
  <si>
    <t>BW-06R</t>
  </si>
  <si>
    <t>BW-15RB</t>
  </si>
  <si>
    <t>BW-30RB</t>
  </si>
  <si>
    <t>BW-60RB</t>
  </si>
  <si>
    <t>BW-150RB</t>
  </si>
  <si>
    <t>BW-500 (ND-500)</t>
  </si>
  <si>
    <t>500 кг</t>
  </si>
  <si>
    <t>50 г</t>
  </si>
  <si>
    <t>280×280 мм</t>
  </si>
  <si>
    <t>405×525 мм</t>
  </si>
  <si>
    <t>465×645 мм</t>
  </si>
  <si>
    <t>200 кг</t>
  </si>
  <si>
    <t>100 г</t>
  </si>
  <si>
    <t>345×465 мм</t>
  </si>
  <si>
    <t>420×510 мм</t>
  </si>
  <si>
    <t>DB-60H</t>
  </si>
  <si>
    <t>DB-150H</t>
  </si>
  <si>
    <t>DB-200H</t>
  </si>
  <si>
    <t>ND-300E</t>
  </si>
  <si>
    <t>30 кг / 60 кг</t>
  </si>
  <si>
    <t>10 г / 20 г</t>
  </si>
  <si>
    <t>60 кг / 150 кг</t>
  </si>
  <si>
    <t>20 г / 50 г</t>
  </si>
  <si>
    <t>150 кг / 300 кг</t>
  </si>
  <si>
    <t>50 г / 100 г</t>
  </si>
  <si>
    <t>456×645 мм</t>
  </si>
  <si>
    <t>DBII-60E</t>
  </si>
  <si>
    <t>DBII-150E</t>
  </si>
  <si>
    <t>100 кг / 200 кг</t>
  </si>
  <si>
    <t>360×460 мм</t>
  </si>
  <si>
    <t>PB-60</t>
  </si>
  <si>
    <t>PB-150</t>
  </si>
  <si>
    <t>PB-200</t>
  </si>
  <si>
    <t>PB-30</t>
  </si>
  <si>
    <t>355×443 мм</t>
  </si>
  <si>
    <t>320×210 мм</t>
  </si>
  <si>
    <t>МК-3.2-С21</t>
  </si>
  <si>
    <t>МК-6.2-С21</t>
  </si>
  <si>
    <t>МК-15.2-С21</t>
  </si>
  <si>
    <t>МК-32.2-С21</t>
  </si>
  <si>
    <t>ИВ-4С - дополнительный выносной индикатор</t>
  </si>
  <si>
    <t>МК-3.2-АВ11</t>
  </si>
  <si>
    <t>МК-6.2-АВ11</t>
  </si>
  <si>
    <t>МК-15.2-АВ11</t>
  </si>
  <si>
    <t>МК-32.2-АВ11</t>
  </si>
  <si>
    <t>МК-3.2-АВ20</t>
  </si>
  <si>
    <t>МК-6.2-АВ20</t>
  </si>
  <si>
    <t>МК-15.2-АВ20</t>
  </si>
  <si>
    <t>МК-32.2-АВ20</t>
  </si>
  <si>
    <t>МК-6.2-Т21</t>
  </si>
  <si>
    <t>МК-15.2-Т21</t>
  </si>
  <si>
    <t>МК-32.2-Т21</t>
  </si>
  <si>
    <t>340×245 мм</t>
  </si>
  <si>
    <t>МК-6.2-ТН11</t>
  </si>
  <si>
    <t>МК-15.2-ТН11</t>
  </si>
  <si>
    <t>МК-32.2-ТН11</t>
  </si>
  <si>
    <t>МК-6.2-ТВ21</t>
  </si>
  <si>
    <t>МК-15.2-ТВ21</t>
  </si>
  <si>
    <t>МК-32.2-ТВ21</t>
  </si>
  <si>
    <t>МК-6.2-ТН21</t>
  </si>
  <si>
    <t>МК-15.2-ТН21</t>
  </si>
  <si>
    <t>МК-32.2-ТН21</t>
  </si>
  <si>
    <t>ВПМ-6.2-Ф</t>
  </si>
  <si>
    <t>ВПМ-15.2-Ф</t>
  </si>
  <si>
    <t>ВПМ-32.2-Ф</t>
  </si>
  <si>
    <t>ВПМ-6.2-Ф1</t>
  </si>
  <si>
    <t>ВПМ-15.2-Ф1</t>
  </si>
  <si>
    <t>ВПМ-32.2-Ф1</t>
  </si>
  <si>
    <t>ВПМ-6.2-Т</t>
  </si>
  <si>
    <t>ВПМ-15.2-Т</t>
  </si>
  <si>
    <t>ВПМ-32.2-Т</t>
  </si>
  <si>
    <t>ВПМ-6.2-Т1</t>
  </si>
  <si>
    <t>ВПМ-15.2-Т1</t>
  </si>
  <si>
    <t>ВПМ-32.2-Т1</t>
  </si>
  <si>
    <t>LTP2242-C-S432 - термопринтер</t>
  </si>
  <si>
    <t>LTP2242C - термоголовка к принтеру LTP2242-C-S432</t>
  </si>
  <si>
    <t>Этикетки 58*30(40;60) - этикетки с липким слоем на 30,40,60 мм</t>
  </si>
  <si>
    <t>ТВ-S-15.2-А1</t>
  </si>
  <si>
    <t>ТВ-S-15.2-А2</t>
  </si>
  <si>
    <t>ТВ-S-15.2-А3</t>
  </si>
  <si>
    <t>ТВ-S-32.2-А1</t>
  </si>
  <si>
    <t>ТВ-S-32.2-А2</t>
  </si>
  <si>
    <t>ТВ-S-32.2-А3</t>
  </si>
  <si>
    <t>ТВ-S-60.2-А1</t>
  </si>
  <si>
    <t>ТВ-S-60.2-А2</t>
  </si>
  <si>
    <t>ТВ-S-60.2-А3</t>
  </si>
  <si>
    <t>ТВ-S-200.2-А1</t>
  </si>
  <si>
    <t>ТВ-S-200.2-А2</t>
  </si>
  <si>
    <t>ТВ-S-200.2-А3</t>
  </si>
  <si>
    <t>60 кг / 200 кг</t>
  </si>
  <si>
    <t>400×510 мм</t>
  </si>
  <si>
    <t>ТВ-M-60.2-А1</t>
  </si>
  <si>
    <t>ТВ-M-60.2-А3</t>
  </si>
  <si>
    <t>ТВ-M-150.2-А1</t>
  </si>
  <si>
    <t>ТВ-M-150.2-А3</t>
  </si>
  <si>
    <t>ТВ-M-300.2-А1</t>
  </si>
  <si>
    <t>ТВ-M-300.2-А3</t>
  </si>
  <si>
    <t>ТВ-M-600.2-А1</t>
  </si>
  <si>
    <t>ТВ-M-600.2-А3</t>
  </si>
  <si>
    <t>300 кг / 600 кг</t>
  </si>
  <si>
    <t>100 г / 200 г</t>
  </si>
  <si>
    <t>600×800 мм</t>
  </si>
  <si>
    <t>В1-15 САША</t>
  </si>
  <si>
    <t>3 кг / 6 кг /15 кг</t>
  </si>
  <si>
    <t>540×290 мм</t>
  </si>
  <si>
    <t>ВЭМ-150-А1</t>
  </si>
  <si>
    <t>ВЭМ-150-А2</t>
  </si>
  <si>
    <t>ВЭМ-150-А3</t>
  </si>
  <si>
    <t>510×400 мм</t>
  </si>
  <si>
    <t>ЕК-А-0.6</t>
  </si>
  <si>
    <t>ЕК-А-1</t>
  </si>
  <si>
    <t>ЕК-А-2</t>
  </si>
  <si>
    <t>ЕК-А-3</t>
  </si>
  <si>
    <t>ЕК-А-5</t>
  </si>
  <si>
    <t>ЕК-А-7.5</t>
  </si>
  <si>
    <t>ЕК-А-10</t>
  </si>
  <si>
    <t>ЕК-СМ-5</t>
  </si>
  <si>
    <t>ЕК-СМ-10</t>
  </si>
  <si>
    <t>ЕК-СМ-15</t>
  </si>
  <si>
    <t>600 кг</t>
  </si>
  <si>
    <t>1000 кг</t>
  </si>
  <si>
    <t>2000 кг</t>
  </si>
  <si>
    <t>3000 кг</t>
  </si>
  <si>
    <t>5000 кг</t>
  </si>
  <si>
    <t>7500 кг</t>
  </si>
  <si>
    <t>10000 кг</t>
  </si>
  <si>
    <t>15000 кг</t>
  </si>
  <si>
    <t>крюк</t>
  </si>
  <si>
    <t>1500 кг</t>
  </si>
  <si>
    <t>2000×1500 мм</t>
  </si>
  <si>
    <t>Терминалы:</t>
  </si>
  <si>
    <t>ST4D - стойка для терминала</t>
  </si>
  <si>
    <t>Моноблочные (накатные) весы 4D-LM</t>
  </si>
  <si>
    <t>1000×1000 мм</t>
  </si>
  <si>
    <t>Платформенные низкопрофильные весы 4D-LA (LA - конструкционная сталь, LA.S - нерж. сталь)</t>
  </si>
  <si>
    <t>4D-LA-2-1000</t>
  </si>
  <si>
    <t>4D-LA-2-1500</t>
  </si>
  <si>
    <t>4D-LA-4-1000</t>
  </si>
  <si>
    <t>4D-LA-4-2000</t>
  </si>
  <si>
    <t>4D-LA.S-2-1000</t>
  </si>
  <si>
    <t>4D-LA.S-2-1500</t>
  </si>
  <si>
    <t>4D-LA.S-4-1000</t>
  </si>
  <si>
    <t>4D-LA.S-4-2000</t>
  </si>
  <si>
    <t>1500×1200 мм</t>
  </si>
  <si>
    <t>Паллетные весы 4D-U</t>
  </si>
  <si>
    <t>4D-U-1-1000</t>
  </si>
  <si>
    <t>4D-U-1-2000</t>
  </si>
  <si>
    <t>1200×840 мм</t>
  </si>
  <si>
    <t>Стержневые весы 4D-B-23</t>
  </si>
  <si>
    <t>4D-B-23-1000</t>
  </si>
  <si>
    <t>4D-B-23-2000</t>
  </si>
  <si>
    <t>1200×100 мм</t>
  </si>
  <si>
    <t>по запросу</t>
  </si>
  <si>
    <t xml:space="preserve">ER JR-6CB   </t>
  </si>
  <si>
    <t>ER JR-6CBU</t>
  </si>
  <si>
    <t>ER JR-15CB</t>
  </si>
  <si>
    <t>ER JR-15CBU</t>
  </si>
  <si>
    <t xml:space="preserve">ER JR-30CB   </t>
  </si>
  <si>
    <t>ER JR-30CBU</t>
  </si>
  <si>
    <t>290×209 мм</t>
  </si>
  <si>
    <t>341×255 мм</t>
  </si>
  <si>
    <t>AP-6EX</t>
  </si>
  <si>
    <t xml:space="preserve"> AP-15EX</t>
  </si>
  <si>
    <t xml:space="preserve"> AP-15EX BT</t>
  </si>
  <si>
    <t>AP-30EX</t>
  </si>
  <si>
    <t>AP-30EX BT</t>
  </si>
  <si>
    <t>AP-6M</t>
  </si>
  <si>
    <t>AP-15M</t>
  </si>
  <si>
    <t>AP-15M BT</t>
  </si>
  <si>
    <t xml:space="preserve">AP-30M </t>
  </si>
  <si>
    <t>AP-30M BT</t>
  </si>
  <si>
    <t>215×340 мм</t>
  </si>
  <si>
    <t>275×440 мм</t>
  </si>
  <si>
    <t>LP-06R (v.1.6.)</t>
  </si>
  <si>
    <t>LP-15 (v.1.6.)</t>
  </si>
  <si>
    <t>LP-15R (v.1.6.)</t>
  </si>
  <si>
    <t>LP-30 (v.1.6.)</t>
  </si>
  <si>
    <t>LP-06 (v.1.6.)</t>
  </si>
  <si>
    <t>400×245 мм</t>
  </si>
  <si>
    <t>Термоголовка к LP</t>
  </si>
  <si>
    <t>Порт TCP-IP</t>
  </si>
  <si>
    <t>LP-30R (v.1.6.)</t>
  </si>
  <si>
    <t>10000 кг ×2</t>
  </si>
  <si>
    <t>15000 кг ×2</t>
  </si>
  <si>
    <t>900×500×39 мм</t>
  </si>
  <si>
    <t>Пассивная площадка RAMP 1 (900×590 мм)</t>
  </si>
  <si>
    <t>Пассивная площадка RAMP 2 (900×545 мм)</t>
  </si>
  <si>
    <t>Пассивная площадка RAMP 3 (900×500 мм)</t>
  </si>
  <si>
    <t>Комплект пассивных площадок - 12 шт. (RAMP 2)</t>
  </si>
  <si>
    <t>Пассивная площадка RAMP 3 (900×267 мм)</t>
  </si>
  <si>
    <t>0.5 THA</t>
  </si>
  <si>
    <t>1 THA</t>
  </si>
  <si>
    <t>2 THA</t>
  </si>
  <si>
    <t>3 THA</t>
  </si>
  <si>
    <t>5 THA</t>
  </si>
  <si>
    <t>1 THD</t>
  </si>
  <si>
    <t>2 THD</t>
  </si>
  <si>
    <t>3 THD</t>
  </si>
  <si>
    <t>5 THD</t>
  </si>
  <si>
    <t>10 THD</t>
  </si>
  <si>
    <t>15 THD</t>
  </si>
  <si>
    <t>20 THD</t>
  </si>
  <si>
    <t>20000 кг</t>
  </si>
  <si>
    <t>ED224S-RCE</t>
  </si>
  <si>
    <t>ED423S-RCE</t>
  </si>
  <si>
    <t>ED623S-RCE</t>
  </si>
  <si>
    <t>ED3202S-RCE</t>
  </si>
  <si>
    <t>ED6202S-RCE</t>
  </si>
  <si>
    <t>MA-35</t>
  </si>
  <si>
    <t>MA-150</t>
  </si>
  <si>
    <t>0.001/0.01%</t>
  </si>
  <si>
    <t>Напольные весы СКЕ</t>
  </si>
  <si>
    <t>СКЕ 60-4050</t>
  </si>
  <si>
    <t>СКЕ 150-4050</t>
  </si>
  <si>
    <t>СКЕ 150-4560</t>
  </si>
  <si>
    <t>СКЕ 300-4560</t>
  </si>
  <si>
    <t>СКЕ 300-6080</t>
  </si>
  <si>
    <t>СКЕ 500-6080</t>
  </si>
  <si>
    <t>450×600 мм</t>
  </si>
  <si>
    <t>Напольные весы СКЕ-Н (полностью из нерж. стали)</t>
  </si>
  <si>
    <t>СКЕ-Н 60-4050</t>
  </si>
  <si>
    <t>СКЕ-Н 150-4050</t>
  </si>
  <si>
    <t>СКЕ-Н 150-4560</t>
  </si>
  <si>
    <t>СКЕ-Н 300-4560</t>
  </si>
  <si>
    <t>СКЕ-Н 300-6080</t>
  </si>
  <si>
    <t>СКЕ-Н 500-6080</t>
  </si>
  <si>
    <t>1520 г</t>
  </si>
  <si>
    <t>175×195 мм</t>
  </si>
  <si>
    <t>ВЛ-120М</t>
  </si>
  <si>
    <t>ВЛ-220М</t>
  </si>
  <si>
    <t>BM-20G</t>
  </si>
  <si>
    <t>BM-22G</t>
  </si>
  <si>
    <t>BM-252G</t>
  </si>
  <si>
    <t>BM-200G</t>
  </si>
  <si>
    <t>BM-300G</t>
  </si>
  <si>
    <t>BM-500G</t>
  </si>
  <si>
    <t>ВЛТЭ-510</t>
  </si>
  <si>
    <t>II высокий</t>
  </si>
  <si>
    <t>Крюк для взвешивания под весами</t>
  </si>
  <si>
    <t>Интерфейс RS-232</t>
  </si>
  <si>
    <t>Внешняя аккумуляторная батарея автономного питания</t>
  </si>
  <si>
    <t>ВЛТЭ-5100</t>
  </si>
  <si>
    <t>ВЛТЭ-150С</t>
  </si>
  <si>
    <t>ВЛТЭ-210С</t>
  </si>
  <si>
    <t>ВЛТЭ-310С</t>
  </si>
  <si>
    <t>ВЛТЭ-510С</t>
  </si>
  <si>
    <t>ВЛТЭ-210/510С</t>
  </si>
  <si>
    <t>ВЛЭ-223С</t>
  </si>
  <si>
    <t>ВЛЭ-423С</t>
  </si>
  <si>
    <t>ВЛЭ-623С</t>
  </si>
  <si>
    <t>ВЛЭ-623СI</t>
  </si>
  <si>
    <t>ВЛЭ-823СI</t>
  </si>
  <si>
    <t>ВЛЭ-1023СI</t>
  </si>
  <si>
    <t>ВЛЭ-822С</t>
  </si>
  <si>
    <t>ВЛЭ-2202С</t>
  </si>
  <si>
    <t>ВЛЭ-4202С</t>
  </si>
  <si>
    <t>ВЛЭ-6202С</t>
  </si>
  <si>
    <t>ВЛЭ-6202СI</t>
  </si>
  <si>
    <t>1020 г</t>
  </si>
  <si>
    <t>I специальный</t>
  </si>
  <si>
    <t>ВЛЭ-8201С</t>
  </si>
  <si>
    <t>ВЛТЭ-150T(В)</t>
  </si>
  <si>
    <t>ВЛТЭ-210T(В)</t>
  </si>
  <si>
    <t>ВЛТЭ-310T(В)</t>
  </si>
  <si>
    <t>ВЛТЭ-510T(В)</t>
  </si>
  <si>
    <t>ВЛТЭ-1100T</t>
  </si>
  <si>
    <t>ВЛТЭ-2100T</t>
  </si>
  <si>
    <t>CDK 01 - комплект для определения плотности</t>
  </si>
  <si>
    <t>MD-83</t>
  </si>
  <si>
    <t>DA-2 - одноразовые чашки для образцов (50 шт.)</t>
  </si>
  <si>
    <t>FDL-012 - программное обеспечение</t>
  </si>
  <si>
    <t>VZ-330 - микропринтер (кабель в комплекте)</t>
  </si>
  <si>
    <t>TQ-100 - лабораторная мельница</t>
  </si>
  <si>
    <t>FW-100 - ветрозащита с дезодорирующим фильтром</t>
  </si>
  <si>
    <t>Переходник COM-USB</t>
  </si>
  <si>
    <t>CT-603CE</t>
  </si>
  <si>
    <t>CT-603GCE</t>
  </si>
  <si>
    <t>CT-1602CE</t>
  </si>
  <si>
    <t>CT-1602GCE</t>
  </si>
  <si>
    <t>не предусмотрен</t>
  </si>
  <si>
    <t>AJBT(S) - аккумуляторная батарея</t>
  </si>
  <si>
    <r>
      <t xml:space="preserve">0.5 г / 1 г / </t>
    </r>
    <r>
      <rPr>
        <b/>
        <sz val="10"/>
        <color indexed="8"/>
        <rFont val="Book Antiqua"/>
        <family val="1"/>
        <charset val="204"/>
      </rPr>
      <t>2 г</t>
    </r>
    <r>
      <rPr>
        <sz val="10"/>
        <color indexed="8"/>
        <rFont val="Book Antiqua"/>
        <family val="1"/>
        <charset val="204"/>
      </rPr>
      <t xml:space="preserve"> *</t>
    </r>
  </si>
  <si>
    <r>
      <t xml:space="preserve">1 г / 2 г / </t>
    </r>
    <r>
      <rPr>
        <b/>
        <sz val="10"/>
        <color indexed="8"/>
        <rFont val="Book Antiqua"/>
        <family val="1"/>
        <charset val="204"/>
      </rPr>
      <t>5 г</t>
    </r>
    <r>
      <rPr>
        <sz val="10"/>
        <color indexed="8"/>
        <rFont val="Book Antiqua"/>
        <family val="1"/>
        <charset val="204"/>
      </rPr>
      <t xml:space="preserve"> *</t>
    </r>
  </si>
  <si>
    <r>
      <t xml:space="preserve">2 г / 5 г / </t>
    </r>
    <r>
      <rPr>
        <b/>
        <sz val="10"/>
        <color indexed="8"/>
        <rFont val="Book Antiqua"/>
        <family val="1"/>
        <charset val="204"/>
      </rPr>
      <t>10 г</t>
    </r>
    <r>
      <rPr>
        <sz val="10"/>
        <color indexed="8"/>
        <rFont val="Book Antiqua"/>
        <family val="1"/>
        <charset val="204"/>
      </rPr>
      <t xml:space="preserve"> *</t>
    </r>
  </si>
  <si>
    <r>
      <t xml:space="preserve">2 г / </t>
    </r>
    <r>
      <rPr>
        <b/>
        <sz val="10"/>
        <color indexed="8"/>
        <rFont val="Book Antiqua"/>
        <family val="1"/>
        <charset val="204"/>
      </rPr>
      <t>5 г *</t>
    </r>
    <r>
      <rPr>
        <sz val="10"/>
        <color indexed="8"/>
        <rFont val="Book Antiqua"/>
        <family val="1"/>
        <charset val="204"/>
      </rPr>
      <t xml:space="preserve"> / 10 г</t>
    </r>
  </si>
  <si>
    <r>
      <t xml:space="preserve">5 г / </t>
    </r>
    <r>
      <rPr>
        <b/>
        <sz val="10"/>
        <color indexed="8"/>
        <rFont val="Book Antiqua"/>
        <family val="1"/>
        <charset val="204"/>
      </rPr>
      <t>10 г *</t>
    </r>
    <r>
      <rPr>
        <sz val="10"/>
        <color indexed="8"/>
        <rFont val="Book Antiqua"/>
        <family val="1"/>
        <charset val="204"/>
      </rPr>
      <t xml:space="preserve"> / 20 г</t>
    </r>
  </si>
  <si>
    <r>
      <t xml:space="preserve">10 г / </t>
    </r>
    <r>
      <rPr>
        <b/>
        <sz val="10"/>
        <color indexed="8"/>
        <rFont val="Book Antiqua"/>
        <family val="1"/>
        <charset val="204"/>
      </rPr>
      <t>20 г *</t>
    </r>
    <r>
      <rPr>
        <sz val="10"/>
        <color indexed="8"/>
        <rFont val="Book Antiqua"/>
        <family val="1"/>
        <charset val="204"/>
      </rPr>
      <t xml:space="preserve"> / 50 г</t>
    </r>
  </si>
  <si>
    <r>
      <t xml:space="preserve">2 г / 5 г / </t>
    </r>
    <r>
      <rPr>
        <b/>
        <sz val="10"/>
        <color indexed="8"/>
        <rFont val="Book Antiqua"/>
        <family val="1"/>
        <charset val="204"/>
      </rPr>
      <t>10 г *</t>
    </r>
  </si>
  <si>
    <r>
      <t xml:space="preserve">5 г / 10 г / </t>
    </r>
    <r>
      <rPr>
        <b/>
        <sz val="10"/>
        <color indexed="8"/>
        <rFont val="Book Antiqua"/>
        <family val="1"/>
        <charset val="204"/>
      </rPr>
      <t>20 г *</t>
    </r>
  </si>
  <si>
    <r>
      <t xml:space="preserve">10 г / 20 г / </t>
    </r>
    <r>
      <rPr>
        <b/>
        <sz val="10"/>
        <color indexed="8"/>
        <rFont val="Book Antiqua"/>
        <family val="1"/>
        <charset val="204"/>
      </rPr>
      <t>50 г *</t>
    </r>
  </si>
  <si>
    <r>
      <t xml:space="preserve">20 г / 50 г / </t>
    </r>
    <r>
      <rPr>
        <b/>
        <sz val="10"/>
        <color indexed="8"/>
        <rFont val="Book Antiqua"/>
        <family val="1"/>
        <charset val="204"/>
      </rPr>
      <t>100 г *</t>
    </r>
  </si>
  <si>
    <t>не присвоен</t>
  </si>
  <si>
    <t>MC-6100</t>
  </si>
  <si>
    <t>MC-10K</t>
  </si>
  <si>
    <t>MC-30K</t>
  </si>
  <si>
    <t>10100 г</t>
  </si>
  <si>
    <t>30100 г</t>
  </si>
  <si>
    <t>270×210 мм</t>
  </si>
  <si>
    <t>MC-1000</t>
  </si>
  <si>
    <r>
      <t xml:space="preserve">EUR - </t>
    </r>
    <r>
      <rPr>
        <b/>
        <sz val="18"/>
        <color indexed="8"/>
        <rFont val="Book Antiqua"/>
        <family val="1"/>
        <charset val="204"/>
      </rPr>
      <t>€</t>
    </r>
  </si>
  <si>
    <t>RA - терминал - регистратор; базовая модель</t>
  </si>
  <si>
    <t>RC - терминал - регистратор с печатью чеков</t>
  </si>
  <si>
    <t xml:space="preserve">R2P - терминал - регистратор с печатью этикеток и чеков / 2 индикатора </t>
  </si>
  <si>
    <t>EJ-123</t>
  </si>
  <si>
    <t>EJ-303</t>
  </si>
  <si>
    <t>EJ-120</t>
  </si>
  <si>
    <t>EJ-200</t>
  </si>
  <si>
    <t>EJ-300</t>
  </si>
  <si>
    <t>EJ-410</t>
  </si>
  <si>
    <t>EJ-610</t>
  </si>
  <si>
    <t>EJ-1500</t>
  </si>
  <si>
    <t>EJ-2000</t>
  </si>
  <si>
    <t>EJ-3000</t>
  </si>
  <si>
    <t>EJ-4100</t>
  </si>
  <si>
    <t>EJ-6100</t>
  </si>
  <si>
    <t>127×140 мм</t>
  </si>
  <si>
    <t>Ø 70 мм</t>
  </si>
  <si>
    <t>HT-120</t>
  </si>
  <si>
    <t>ВЛТЭ-150*</t>
  </si>
  <si>
    <t>ВЛТЭ-210*</t>
  </si>
  <si>
    <t>ВЛТЭ-310*</t>
  </si>
  <si>
    <t>ВЛТЭ-210/510*</t>
  </si>
  <si>
    <t>BM-20</t>
  </si>
  <si>
    <t>BM-22</t>
  </si>
  <si>
    <t>BM-200</t>
  </si>
  <si>
    <t>BM-300</t>
  </si>
  <si>
    <t>BM-500</t>
  </si>
  <si>
    <t>HW-200KGL*</t>
  </si>
  <si>
    <t>HW-200KGV*</t>
  </si>
  <si>
    <t>EX-125D</t>
  </si>
  <si>
    <t>EX-125</t>
  </si>
  <si>
    <t>EX-225D</t>
  </si>
  <si>
    <t>EX-225D/AD</t>
  </si>
  <si>
    <t>52 г / 120 г</t>
  </si>
  <si>
    <t>заносим курс ЦБ на текущий день</t>
  </si>
  <si>
    <t>АВ60М-01</t>
  </si>
  <si>
    <t>АВ60М-01А</t>
  </si>
  <si>
    <t>АВ60М-01С</t>
  </si>
  <si>
    <t>АВ120М-01</t>
  </si>
  <si>
    <t>АВ120М-01А</t>
  </si>
  <si>
    <t>АВ120М-01С</t>
  </si>
  <si>
    <t>АВ210М-01</t>
  </si>
  <si>
    <t>АВ210М-01А</t>
  </si>
  <si>
    <t>АВ210М-01С</t>
  </si>
  <si>
    <t>АВ310М-01</t>
  </si>
  <si>
    <t>АВ310М-01А</t>
  </si>
  <si>
    <t>АВ310М-01С</t>
  </si>
  <si>
    <t>АВ600М-1</t>
  </si>
  <si>
    <t>АВ600М-1С</t>
  </si>
  <si>
    <t>АВ1200М-1</t>
  </si>
  <si>
    <t>Лабораторные весы MWP (сертифицированы по ТУ)</t>
  </si>
  <si>
    <t>NV-212</t>
  </si>
  <si>
    <t>NVL-511</t>
  </si>
  <si>
    <t>NVL-1101</t>
  </si>
  <si>
    <t>NVL-2101</t>
  </si>
  <si>
    <t>NVL-5101</t>
  </si>
  <si>
    <t>NVL-10000</t>
  </si>
  <si>
    <t>NVL-20000</t>
  </si>
  <si>
    <t>NVT-1601/2</t>
  </si>
  <si>
    <t>NVT-3201/2</t>
  </si>
  <si>
    <t>NVT-6401/2</t>
  </si>
  <si>
    <t>NVT-10001/2</t>
  </si>
  <si>
    <t>NVT-16000/2</t>
  </si>
  <si>
    <t>1600 г</t>
  </si>
  <si>
    <t>6400 г</t>
  </si>
  <si>
    <t>16 кг</t>
  </si>
  <si>
    <t>194×203 мм</t>
  </si>
  <si>
    <t>230×174 мм</t>
  </si>
  <si>
    <t>AX-124</t>
  </si>
  <si>
    <t>AX-124E</t>
  </si>
  <si>
    <t>AX-224</t>
  </si>
  <si>
    <t>AX-224E</t>
  </si>
  <si>
    <t>AX-324</t>
  </si>
  <si>
    <t>AX-223</t>
  </si>
  <si>
    <t>AX-223E</t>
  </si>
  <si>
    <t>AX-423</t>
  </si>
  <si>
    <t>AX-423E</t>
  </si>
  <si>
    <t>AX-523</t>
  </si>
  <si>
    <t>AX-523E</t>
  </si>
  <si>
    <t>AX-622</t>
  </si>
  <si>
    <t>AX-622E</t>
  </si>
  <si>
    <t>AX-1502</t>
  </si>
  <si>
    <t>AX-1502E</t>
  </si>
  <si>
    <t>AX-2202</t>
  </si>
  <si>
    <t>AX-2202E</t>
  </si>
  <si>
    <t>AX-4202</t>
  </si>
  <si>
    <t>AX-4202E</t>
  </si>
  <si>
    <t>AX-5202</t>
  </si>
  <si>
    <t>AX-4201</t>
  </si>
  <si>
    <t>AX-4201E</t>
  </si>
  <si>
    <t>AX-8201</t>
  </si>
  <si>
    <t>AX-8201E</t>
  </si>
  <si>
    <t>MB-27</t>
  </si>
  <si>
    <t>90 г</t>
  </si>
  <si>
    <t>4D-LM-2-1000</t>
  </si>
  <si>
    <t>SDR 01 - выносной индикатор</t>
  </si>
  <si>
    <t>4D-LM-2-2000</t>
  </si>
  <si>
    <t>МК-6.2-RA11</t>
  </si>
  <si>
    <t>МК-15.2-RA11</t>
  </si>
  <si>
    <t>МК-32.2-RA11</t>
  </si>
  <si>
    <t>340×244 мм</t>
  </si>
  <si>
    <t>МК-6.2-RC11</t>
  </si>
  <si>
    <t>МК-15.2-RC11</t>
  </si>
  <si>
    <t>МК-32.2-RC11</t>
  </si>
  <si>
    <t>МК-6.2-RP10</t>
  </si>
  <si>
    <t>МК-15.2-RP10</t>
  </si>
  <si>
    <t>МК-32.2-RP10</t>
  </si>
  <si>
    <t>МК-6.2-RP10-1</t>
  </si>
  <si>
    <t>МК-15.2-RP10-1</t>
  </si>
  <si>
    <t>МК-32.2-RP10-1</t>
  </si>
  <si>
    <t>МК-6.2-R2P10-1</t>
  </si>
  <si>
    <t>МК-15.2-R2P10-1</t>
  </si>
  <si>
    <t>МК-32.2-R2P10-1</t>
  </si>
  <si>
    <t>МК-6.2-R2P10</t>
  </si>
  <si>
    <t>МК-15.2-R2P10</t>
  </si>
  <si>
    <t>МК-32.2-R2P10</t>
  </si>
  <si>
    <t>AB-323CE</t>
  </si>
  <si>
    <t>AB-323RCE</t>
  </si>
  <si>
    <t>AB-623CE</t>
  </si>
  <si>
    <t>AB-623RCE</t>
  </si>
  <si>
    <t>AB-1202CE</t>
  </si>
  <si>
    <t>AB-1202RCE</t>
  </si>
  <si>
    <t>AB-3202CE</t>
  </si>
  <si>
    <t>AB-3202RCE</t>
  </si>
  <si>
    <t>AB-12001CE</t>
  </si>
  <si>
    <t>AB-12001RCE</t>
  </si>
  <si>
    <t>GP-60KS</t>
  </si>
  <si>
    <t>Лабораторные весы CUX / CUW (ГОСТ OIML R76-1-2011)</t>
  </si>
  <si>
    <t>Лабораторные весы CBL (сертифицированы по ТУ)</t>
  </si>
  <si>
    <t>Лабораторные весы CBX (сертифицированы по ТУ)</t>
  </si>
  <si>
    <t>Карманные весы RE (не сертифицированы)</t>
  </si>
  <si>
    <t>RE-250</t>
  </si>
  <si>
    <t>RE-500</t>
  </si>
  <si>
    <t>62×72 мм</t>
  </si>
  <si>
    <t>Настольные весы AD / AD-H (ГОСТ Р 53228-2008)</t>
  </si>
  <si>
    <t>Настольные весы PW (весы из нержавеющей стали, 100% пылевлагозащита) (ГОСТ Р 53228-2008)</t>
  </si>
  <si>
    <t>FW500-6Е</t>
  </si>
  <si>
    <t>FW500-15Е</t>
  </si>
  <si>
    <t>FW500-30Е</t>
  </si>
  <si>
    <t>Настольные весы SW (DD - двухдисплейные весы, W - влагозащищенные весы) (ГОСТ Р 53228-2008)</t>
  </si>
  <si>
    <t>SW-10W (DD)</t>
  </si>
  <si>
    <t>Настольные весы SWII (весы со светодиодным дисплеем, модели с буквой P - весы со стойкой, DD - двухдисплейные весы)
(ГОСТ Р 53228-2008)</t>
  </si>
  <si>
    <t>SWII-2 (DD)</t>
  </si>
  <si>
    <t>SWII-5 (DD)</t>
  </si>
  <si>
    <t>SWII-10 (DD)</t>
  </si>
  <si>
    <t>Счетные настольные весы EC (ГОСТ OIML R76-1-2011)</t>
  </si>
  <si>
    <t>Счетные настольные весы CS (ГОСТ Р 53228-2008)</t>
  </si>
  <si>
    <t>Счетные напольные весы AC (ГОСТ Р 53228-2008)</t>
  </si>
  <si>
    <t>AC-25</t>
  </si>
  <si>
    <t>AC-50</t>
  </si>
  <si>
    <t>AC-100</t>
  </si>
  <si>
    <t>390×510 мм</t>
  </si>
  <si>
    <t>Настольные и напольные весы BW (пылевлагозащищенные) (ГОСТ OIML R76-1-2011)</t>
  </si>
  <si>
    <t>Напольные весы DL (ГОСТ OIML R76-1-2011)</t>
  </si>
  <si>
    <t>Напольные весы DB/ND (ГОСТ OIML R76-1-2011)</t>
  </si>
  <si>
    <t>Напольные весы DBII-E (ГОСТ Р 53228-2008)</t>
  </si>
  <si>
    <t>DB II-60W</t>
  </si>
  <si>
    <t>DB II-150W</t>
  </si>
  <si>
    <t>DB II-300 6070</t>
  </si>
  <si>
    <t>DB II-300 7080</t>
  </si>
  <si>
    <t>DB II-300 8090</t>
  </si>
  <si>
    <t>DB II-600 6070</t>
  </si>
  <si>
    <t>DB II-600 7080</t>
  </si>
  <si>
    <t>DB II-600 8090</t>
  </si>
  <si>
    <t>600×700 мм</t>
  </si>
  <si>
    <t>700×800 мм</t>
  </si>
  <si>
    <t>800×900 мм</t>
  </si>
  <si>
    <t>Напольные весы PB (ГОСТ OIML R76-1-2011)</t>
  </si>
  <si>
    <t>Напольные весы DBII (с "W" - весы без стойки) (ГОСТ Р 53228-2008)</t>
  </si>
  <si>
    <t>Торговые весы PR (B - весы без стойки, P - весы со стойкой) (ГОСТ Р 53228-2008)</t>
  </si>
  <si>
    <t>Торговые весы ER JR (B - подсветка дисплея, U - весы со стойкой) (ГОСТ OIML R76-1-2011)</t>
  </si>
  <si>
    <t>Торговые весы AP (клавиши прямого доступа: 28 (EX), 7 (AP-M); ВТ - увеличенная платформа) (ГОСТ Р 53228-2008)</t>
  </si>
  <si>
    <t>CL5000-15P  TCP-IP</t>
  </si>
  <si>
    <t>CL5000J-6IB TCP-IP</t>
  </si>
  <si>
    <t>CL5000J-15IB TCP-IP</t>
  </si>
  <si>
    <t>CL5000J-30IB TCP-IP</t>
  </si>
  <si>
    <t>CL5000J-6IP TCP-IP</t>
  </si>
  <si>
    <t>CL5000J-15IP TCP-IP</t>
  </si>
  <si>
    <t>CL5000J-30IP TCP-IP</t>
  </si>
  <si>
    <t>CL5000J-15IS TCP-IP</t>
  </si>
  <si>
    <t>CL5000J-30IS TCP-IP</t>
  </si>
  <si>
    <t>CL5000J-15IH TCP-IP</t>
  </si>
  <si>
    <t>CL5000D-15D TCP-IP</t>
  </si>
  <si>
    <t>Сменный картридж к CL5000J</t>
  </si>
  <si>
    <t>WiFi карта к CL5000J</t>
  </si>
  <si>
    <t>Термоголовка к CL5000J</t>
  </si>
  <si>
    <t>380×244 мм</t>
  </si>
  <si>
    <t>430×290 мм</t>
  </si>
  <si>
    <t>375×266 мм</t>
  </si>
  <si>
    <t>LP-15 (v.1.6.) TCP-IP</t>
  </si>
  <si>
    <t>LP-15R (v.1.6.) TCP-IP</t>
  </si>
  <si>
    <t>LP-30 (v.1.6.) TCP-IP</t>
  </si>
  <si>
    <t>Торговые весы с чекопечатью LP (ГОСТ Р 53228-2008)</t>
  </si>
  <si>
    <t>Автомобильные подкладные весы RW-P (сертифицированы по ТУ)</t>
  </si>
  <si>
    <t>Гидравлическая тележка со встроенными весами CPS (ГОСТ OIML R76-1-2011)</t>
  </si>
  <si>
    <t>1350×540×1155 мм</t>
  </si>
  <si>
    <t>Встроенный принтер</t>
  </si>
  <si>
    <t>CPS-1</t>
  </si>
  <si>
    <t>CPS-2</t>
  </si>
  <si>
    <t>Крановые весы CASTON-I (ГОСТ Р 53228-2008)</t>
  </si>
  <si>
    <t>Крановые весы CASTON-III (ГОСТ Р 53228-2008)</t>
  </si>
  <si>
    <t>2 THD TWN</t>
  </si>
  <si>
    <t>5 THD TWN</t>
  </si>
  <si>
    <t>10 THD TWN</t>
  </si>
  <si>
    <t>15 THD TWN</t>
  </si>
  <si>
    <t>20 THD TWN</t>
  </si>
  <si>
    <t>Весы торговые с печатью этикеток CL5000/СL5000J/CL5000D (ГОСТ Р 53228-2008)
(I)B - без стойки / (I)H - подвесные / (I)Р - со стойкой / IS - весы самообслуживания</t>
  </si>
  <si>
    <t>Настольные весы FW500 (весы из нержавеющей стали, 100% пылевлагозащита IP-69) (ГОСТ OIML R 76-1-2011)</t>
  </si>
  <si>
    <t>247×212 мм</t>
  </si>
  <si>
    <t>Настольные весы ED-H (ГОСТ OIML R76-1-2011)</t>
  </si>
  <si>
    <t>293×218 мм</t>
  </si>
  <si>
    <t>395×510 мм</t>
  </si>
  <si>
    <t>Кабель для подключения к компьютеру</t>
  </si>
  <si>
    <t>CBM-910 II - микропринтер</t>
  </si>
  <si>
    <t>Питание от сухих батарей</t>
  </si>
  <si>
    <t>ВЛТЭ-3100</t>
  </si>
  <si>
    <t>ВЛТЭ-2200</t>
  </si>
  <si>
    <t>ВЛТЭ-3100T</t>
  </si>
  <si>
    <t>ВЛТЭ-5100T</t>
  </si>
  <si>
    <t>ВЛТЭ-6100T</t>
  </si>
  <si>
    <t>ВПВ-12</t>
  </si>
  <si>
    <t>ВПВ-22</t>
  </si>
  <si>
    <t>ВПВ-32</t>
  </si>
  <si>
    <t>ВПВ-52</t>
  </si>
  <si>
    <t>ВПВ-12С</t>
  </si>
  <si>
    <t>ВПВ-22С</t>
  </si>
  <si>
    <t>ВПВ-32С</t>
  </si>
  <si>
    <t>350×320 мм</t>
  </si>
  <si>
    <t>ВПТ-12</t>
  </si>
  <si>
    <t>ВПТ-22</t>
  </si>
  <si>
    <t>ВПТ-32</t>
  </si>
  <si>
    <t>ВПТ-52</t>
  </si>
  <si>
    <t>III средний</t>
  </si>
  <si>
    <t>ВПС-15</t>
  </si>
  <si>
    <t>ВПС-30</t>
  </si>
  <si>
    <t>ВПС-60</t>
  </si>
  <si>
    <t>RP - терминал - регистратор с печатью этикеток и чеков</t>
  </si>
  <si>
    <t>DL-63</t>
  </si>
  <si>
    <t>DL-123</t>
  </si>
  <si>
    <t>DL-213</t>
  </si>
  <si>
    <t>DL-313</t>
  </si>
  <si>
    <t>DL-413</t>
  </si>
  <si>
    <t>DL-513</t>
  </si>
  <si>
    <t>80 мм</t>
  </si>
  <si>
    <t>DL-122</t>
  </si>
  <si>
    <t>DL-212</t>
  </si>
  <si>
    <t>DL-312</t>
  </si>
  <si>
    <t>DL-612</t>
  </si>
  <si>
    <t>DL-1102</t>
  </si>
  <si>
    <t>DL-2102</t>
  </si>
  <si>
    <t>DL-3102</t>
  </si>
  <si>
    <t>DL-4102</t>
  </si>
  <si>
    <t>DL-5102</t>
  </si>
  <si>
    <t>130 мм</t>
  </si>
  <si>
    <t>160 мм</t>
  </si>
  <si>
    <t>DL-10001</t>
  </si>
  <si>
    <t>DL-15001</t>
  </si>
  <si>
    <t>DL-6000</t>
  </si>
  <si>
    <t>MB-90</t>
  </si>
  <si>
    <t>MB-120</t>
  </si>
  <si>
    <t>MC-2000</t>
  </si>
  <si>
    <t>3% - 45% / 0,1%</t>
  </si>
  <si>
    <t>Точность определения влажности</t>
  </si>
  <si>
    <t>6.1 кг</t>
  </si>
  <si>
    <t>DL-6101</t>
  </si>
  <si>
    <t>STX-123</t>
  </si>
  <si>
    <t>STX-223</t>
  </si>
  <si>
    <t>STX-222</t>
  </si>
  <si>
    <t>STX-422</t>
  </si>
  <si>
    <t>STX-622</t>
  </si>
  <si>
    <t>STX-1202</t>
  </si>
  <si>
    <t>STX-2202</t>
  </si>
  <si>
    <t>STX-421</t>
  </si>
  <si>
    <t>STX-621</t>
  </si>
  <si>
    <t>STX-2201</t>
  </si>
  <si>
    <t>STX-6201</t>
  </si>
  <si>
    <t>STX-8200</t>
  </si>
  <si>
    <t>Ø 93 мм</t>
  </si>
  <si>
    <t>SPX-123</t>
  </si>
  <si>
    <t>SPX-223</t>
  </si>
  <si>
    <t>SPX-222</t>
  </si>
  <si>
    <t>SPX-422</t>
  </si>
  <si>
    <t>SPX-622</t>
  </si>
  <si>
    <t>SPX-1202</t>
  </si>
  <si>
    <t>SPX-2202</t>
  </si>
  <si>
    <t>SPX-421</t>
  </si>
  <si>
    <t>SPX-621</t>
  </si>
  <si>
    <t>SPX-2201</t>
  </si>
  <si>
    <t>SPX-6201</t>
  </si>
  <si>
    <t>SPX-8200</t>
  </si>
  <si>
    <t>SJX-323</t>
  </si>
  <si>
    <t>SJX-323/E</t>
  </si>
  <si>
    <t>SJX-322/E</t>
  </si>
  <si>
    <t>SJX-622</t>
  </si>
  <si>
    <t>SJX-622/E</t>
  </si>
  <si>
    <t>SJX-1502</t>
  </si>
  <si>
    <t>SJX-1502/E</t>
  </si>
  <si>
    <t>SJX-621/E</t>
  </si>
  <si>
    <t>SJX-3201/E</t>
  </si>
  <si>
    <t>SJX-6201</t>
  </si>
  <si>
    <t>SJX-6201/E</t>
  </si>
  <si>
    <t>SJX-8200/E</t>
  </si>
  <si>
    <t>64 г (320 карат)</t>
  </si>
  <si>
    <t>0.001 г (0.005 карат)</t>
  </si>
  <si>
    <t>Внешний индикатор</t>
  </si>
  <si>
    <t>EX-12001</t>
  </si>
  <si>
    <t>EX-24001</t>
  </si>
  <si>
    <t>EX-32001</t>
  </si>
  <si>
    <t>377×311 мм</t>
  </si>
  <si>
    <t>АВ1200М-1С</t>
  </si>
  <si>
    <t>DL-60</t>
  </si>
  <si>
    <t>DL-100</t>
  </si>
  <si>
    <t>DL-150</t>
  </si>
  <si>
    <t>MSC-10</t>
  </si>
  <si>
    <t>MSC-25</t>
  </si>
  <si>
    <t>250×215 мм</t>
  </si>
  <si>
    <t>MSC-10D</t>
  </si>
  <si>
    <t>MSC-25D</t>
  </si>
  <si>
    <t>MS-10</t>
  </si>
  <si>
    <t>MS-25</t>
  </si>
  <si>
    <t>310×220 мм</t>
  </si>
  <si>
    <t>MSWE-15</t>
  </si>
  <si>
    <t>MSWE-30</t>
  </si>
  <si>
    <t>210×175 мм</t>
  </si>
  <si>
    <t>Фасовочные влагозащищенные весы MSWE-D со вторым дисплеем на обратной стороне (класс защиты IP-67)
(ГОСТ OIML R76-1-2011)</t>
  </si>
  <si>
    <t>Фасовочные влагозащищенные весы MSWE (класс защиты IP-67)
(ГОСТ OIML R76-1-2011)</t>
  </si>
  <si>
    <t>Фасовочные весы MS
(ГОСТ OIML R76-1-2011)</t>
  </si>
  <si>
    <t>Фасовочные весы MSC-D со вторым дисплеем на обратной стороне
(ГОСТ OIML R76-1-2011)</t>
  </si>
  <si>
    <t>Фасовочные весы MSC
(ГОСТ OIML R76-1-2011)</t>
  </si>
  <si>
    <t>MSWE-15D</t>
  </si>
  <si>
    <t>MSWE-30D</t>
  </si>
  <si>
    <t>Счетные весы MС2
(ГОСТ OIML R76-1-2011)</t>
  </si>
  <si>
    <t>MC2-10</t>
  </si>
  <si>
    <t>MC2-25</t>
  </si>
  <si>
    <t>MSC-5</t>
  </si>
  <si>
    <t>MSC-5D</t>
  </si>
  <si>
    <t>MS-5</t>
  </si>
  <si>
    <t>MSWE-3</t>
  </si>
  <si>
    <t>MSWE-6</t>
  </si>
  <si>
    <t>MSWE-3D</t>
  </si>
  <si>
    <t>MSWE-6D</t>
  </si>
  <si>
    <t>MC2-5</t>
  </si>
  <si>
    <t>1/2 г</t>
  </si>
  <si>
    <t>2/5 г</t>
  </si>
  <si>
    <t>5/10 г</t>
  </si>
  <si>
    <t>Торговые весы MR1 без стойки
(ГОСТ OIML R76-1-2011)</t>
  </si>
  <si>
    <t>MR1-6</t>
  </si>
  <si>
    <t>MR1-15</t>
  </si>
  <si>
    <t>MR1-30</t>
  </si>
  <si>
    <t>Торговые весы MR1-P со стойкой
(ГОСТ OIML R76-1-2011)</t>
  </si>
  <si>
    <t>MR1-6P</t>
  </si>
  <si>
    <t>MR1-15P</t>
  </si>
  <si>
    <t>MR1-30P</t>
  </si>
  <si>
    <t>Товарные весы PM1E (светодиодный индикатор)
(ГОСТ OIML R76-1-2011)</t>
  </si>
  <si>
    <t>10/20 г</t>
  </si>
  <si>
    <t>20/50 г</t>
  </si>
  <si>
    <t>50/100 г</t>
  </si>
  <si>
    <t>100/200 г</t>
  </si>
  <si>
    <t>Лабораторные весы XE (ГОСТ OIML R76-1-2011)</t>
  </si>
  <si>
    <t>XE-300</t>
  </si>
  <si>
    <t>XE-600</t>
  </si>
  <si>
    <t>XE-1500</t>
  </si>
  <si>
    <t>XE-3000</t>
  </si>
  <si>
    <t>XE-6000</t>
  </si>
  <si>
    <t>CD-300 - дополнительный выносной дисплей</t>
  </si>
  <si>
    <t>Ø 128 мм</t>
  </si>
  <si>
    <t>155×143 мм</t>
  </si>
  <si>
    <t>Товарные весы PM1B (жидкокристаллический индикатор)
(ГОСТ OIML R76-1-2011)</t>
  </si>
  <si>
    <t>50/100 кг</t>
  </si>
  <si>
    <t>60/150 кг</t>
  </si>
  <si>
    <t>150/300 кг</t>
  </si>
  <si>
    <t>300/500 кг</t>
  </si>
  <si>
    <t>Товарные весы PM1H (жидкокристаллический индикатор). Пыле-влагозащищенные весы. Класс защиты IP-65.
(ГОСТ OIML R76-1-2011)</t>
  </si>
  <si>
    <t>SWN-3</t>
  </si>
  <si>
    <t>SWN-6</t>
  </si>
  <si>
    <t>SWN-15</t>
  </si>
  <si>
    <t>SWN-30</t>
  </si>
  <si>
    <t>SWN-3 (DD)</t>
  </si>
  <si>
    <t>SWN-6 (DD)</t>
  </si>
  <si>
    <t>SWN-15 (DD)</t>
  </si>
  <si>
    <t>SWN-30 (DD)</t>
  </si>
  <si>
    <t>0.5/1 г</t>
  </si>
  <si>
    <t>226×187 мм</t>
  </si>
  <si>
    <t>Настольные весы SWN. Модификация (DD) - второй дисплей на обратной стороне.
(ГОСТ OIML R 76-1-2011)</t>
  </si>
  <si>
    <t>Лабораторные весы DL
(ГОСТ OIML R76-1-2011)</t>
  </si>
  <si>
    <t>Микровесы BM-G, микроаналитические весы BM-G, аналитические весы BM-G
(ГОСТ OIML R76-1-2011)</t>
  </si>
  <si>
    <t>Микроаналитические и аналитические весы GR
(ГОСТ OIML R76-1-2011)</t>
  </si>
  <si>
    <t>Микроаналитические и аналитические весы GH
(ГОСТ OIML R76-1-2011)</t>
  </si>
  <si>
    <t>Анализаторы вязкости SV (вискозиметры)
(сертифицированы по ТУ, не имеют класса точности)</t>
  </si>
  <si>
    <t>Анализаторы влажности
(сертифицированы по ТУ, не имеют класса точности)</t>
  </si>
  <si>
    <t>Компараторы массы
(сертифицированы по ТУ, не имеют класса точности)</t>
  </si>
  <si>
    <t>Аналитические весы HR-AG, HR-AZG
(ГОСТ OIML R76-1-2011)</t>
  </si>
  <si>
    <t>Лабораторные весы DL-WP (100% пылевлагозащита)
(ГОСТ OIML R76-1-2011)</t>
  </si>
  <si>
    <t>Лабораторные весы DX
(ГОСТ OIML R76-1-2011)</t>
  </si>
  <si>
    <t>Лабораторные весы DX-WP (100% пылевлагозащита)
(ГОСТ OIML R76-1-2011)</t>
  </si>
  <si>
    <t>Лабораторные весы EJ
(сертифицированы по ТУ, не имеют класса точности)</t>
  </si>
  <si>
    <t>Счетные весы FC-i
(сертифицированы по ТУ, не имеют класса точности)</t>
  </si>
  <si>
    <t>DA-65C</t>
  </si>
  <si>
    <t>DA-125DC</t>
  </si>
  <si>
    <t>DA-225DC</t>
  </si>
  <si>
    <t>62 г</t>
  </si>
  <si>
    <t>DA-124</t>
  </si>
  <si>
    <t>DA-124С</t>
  </si>
  <si>
    <t>DA-224</t>
  </si>
  <si>
    <t>DA-224C</t>
  </si>
  <si>
    <t>DA-314C</t>
  </si>
  <si>
    <t>DA-514C</t>
  </si>
  <si>
    <t>DA-223C</t>
  </si>
  <si>
    <t>DA-333C</t>
  </si>
  <si>
    <t>DA-523C</t>
  </si>
  <si>
    <t>DA-723C</t>
  </si>
  <si>
    <t>DA-1003C</t>
  </si>
  <si>
    <t>DA-1203C</t>
  </si>
  <si>
    <t>DA-2103C</t>
  </si>
  <si>
    <t>330 г</t>
  </si>
  <si>
    <t>110 мм</t>
  </si>
  <si>
    <t>DA-2202C</t>
  </si>
  <si>
    <t>DA-3102C</t>
  </si>
  <si>
    <t>DA-4202C</t>
  </si>
  <si>
    <t>DA-5202C</t>
  </si>
  <si>
    <t>DA-6202C</t>
  </si>
  <si>
    <t>DA-8202</t>
  </si>
  <si>
    <t>Анализатор влажности MD
(сертифицирован по ТУ, класс точности не предусмотрен)</t>
  </si>
  <si>
    <t>AF-225DRCE</t>
  </si>
  <si>
    <t>AF-224RCE</t>
  </si>
  <si>
    <t>Аналитические весы HT
(ГОСТ OIML R76-1-2011)</t>
  </si>
  <si>
    <t>HT-84CE</t>
  </si>
  <si>
    <t>HT-84RCE</t>
  </si>
  <si>
    <t>HT-124CE</t>
  </si>
  <si>
    <t>HT-124RCE</t>
  </si>
  <si>
    <t>HT-224CE</t>
  </si>
  <si>
    <t>HT-224RCE</t>
  </si>
  <si>
    <t>0.001 карат
(0.0002 г)</t>
  </si>
  <si>
    <t>600 карат
(120 г)</t>
  </si>
  <si>
    <t>0.01 карат
(0.002 г)</t>
  </si>
  <si>
    <t>1600 карат
(320 г)</t>
  </si>
  <si>
    <t>Лабораторные весы LN
(ГОСТ OIML R76-1-2011)</t>
  </si>
  <si>
    <t>LN-223CE</t>
  </si>
  <si>
    <t>LN-223RCE</t>
  </si>
  <si>
    <t>LN-323CE</t>
  </si>
  <si>
    <t>LN-323RCE</t>
  </si>
  <si>
    <t>LN-423CE</t>
  </si>
  <si>
    <t>LN-423RCE</t>
  </si>
  <si>
    <t>LN-623CE</t>
  </si>
  <si>
    <t>LN-623RCE</t>
  </si>
  <si>
    <t>LN-1202CE</t>
  </si>
  <si>
    <t>LN-1202RCE</t>
  </si>
  <si>
    <t>LN-2202CE</t>
  </si>
  <si>
    <t>LN-2202RCE</t>
  </si>
  <si>
    <t>LN-3202CE</t>
  </si>
  <si>
    <t>LN-3202RCE</t>
  </si>
  <si>
    <t>LN-4202CE</t>
  </si>
  <si>
    <t>LN-4202RCE</t>
  </si>
  <si>
    <t>LN-6202CE</t>
  </si>
  <si>
    <t>LN-8201CE</t>
  </si>
  <si>
    <t>LN-12001CE</t>
  </si>
  <si>
    <t>LN-15001CE</t>
  </si>
  <si>
    <t>LN-21001CE</t>
  </si>
  <si>
    <t>LN-31001CE</t>
  </si>
  <si>
    <t>LNDK - комплект для измерения плотности (для весов с d=0.001г)</t>
  </si>
  <si>
    <t>AJUH(M) - крюк для взвешивания под весами (для весов с Max 1200 г и более)</t>
  </si>
  <si>
    <t>LNBT - аккумуляторная батарея (только для весов с внешней калибровкой)</t>
  </si>
  <si>
    <t>Лабораторные весы AJ
(ГОСТ OIML R76-1-2011)</t>
  </si>
  <si>
    <t>Лабораторные весы AB
(ГОСТ OIML R76-1-2011)</t>
  </si>
  <si>
    <t>Лабораторные весы SJ
(ГОСТ OIML R76-1-2011)</t>
  </si>
  <si>
    <t>Лабораторные весы CJ (ГОСТ OIML R76-1-2011)
(полностью пылевлагозащищенные весы из нержавеющей стали)</t>
  </si>
  <si>
    <t>Лабораторные весы HJ (ГОСТ OIML R76-1-2011)
(большегрузные весы с повышенной точностью)</t>
  </si>
  <si>
    <t>FS623-i02</t>
  </si>
  <si>
    <t>FS3202-i02</t>
  </si>
  <si>
    <t>FS6202-i02</t>
  </si>
  <si>
    <t>FS15001-i02</t>
  </si>
  <si>
    <t>FS30K0.1G-i02</t>
  </si>
  <si>
    <t>FS60K0.1G-i02</t>
  </si>
  <si>
    <t>FS100K1G-i02</t>
  </si>
  <si>
    <t>FS200K1G-i02</t>
  </si>
  <si>
    <t>FS150K1GF-i02</t>
  </si>
  <si>
    <t>FS300K1GF-i02</t>
  </si>
  <si>
    <t>FS623-i03</t>
  </si>
  <si>
    <t>FS3202-i03</t>
  </si>
  <si>
    <t>FS6202-i03</t>
  </si>
  <si>
    <t>FS15001-i03</t>
  </si>
  <si>
    <t>FS30K0.1G-i03</t>
  </si>
  <si>
    <t>FS60K0.1G-i03</t>
  </si>
  <si>
    <t>FS100K1G-i03</t>
  </si>
  <si>
    <t>FS200K1G-i03</t>
  </si>
  <si>
    <t>FS150K1GF-i03</t>
  </si>
  <si>
    <t>FS300K1GF-i03</t>
  </si>
  <si>
    <t>310×330 мм</t>
  </si>
  <si>
    <t>380×530 мм</t>
  </si>
  <si>
    <t>800×600 мм</t>
  </si>
  <si>
    <t>FS-PK - напольная стойка дисплея для FS/FZ</t>
  </si>
  <si>
    <t>FS-DS - выносная подставка для дисплея</t>
  </si>
  <si>
    <t>FS-TI - интерфейс TCP-IP для FS/FZ (завод. опция)</t>
  </si>
  <si>
    <t>FS-LM - контакт реле для FS/FZ (заводская опция)</t>
  </si>
  <si>
    <t>FS-RS - интерфейс RS232C для FS/FZ (завод.опция)</t>
  </si>
  <si>
    <t>FS-R4 - интерфейс RS-422A для FS/FZ (завод.опция)</t>
  </si>
  <si>
    <t>FS-SC - удлиненный кабель (до 20 м, цена за каждые 5 м)</t>
  </si>
  <si>
    <t>FS-WS-S-Ветрозащита маленькая для FS/FZ 623</t>
  </si>
  <si>
    <t>FS-WS -M - Ветрозащита средняя для FS/FZ 623</t>
  </si>
  <si>
    <t>FS-WS -L - Ветрозащита большая для FS/FZ 623</t>
  </si>
  <si>
    <t>Промыленные весы FS повышенной точности и полностью пылевлагозащищенные из нержавеющей стали
(ГОСТ OIML R76-1-2011)</t>
  </si>
  <si>
    <t>FZ623Ex-i02</t>
  </si>
  <si>
    <t>FZ3202Ex-i02</t>
  </si>
  <si>
    <t>FZ6202Ex-i02</t>
  </si>
  <si>
    <t>FZ15001Ex-i02</t>
  </si>
  <si>
    <t>FZ30K0.1GEx-i02</t>
  </si>
  <si>
    <t>FZ60K0.1GEX-i02</t>
  </si>
  <si>
    <t>FZ100K1GEx-i02</t>
  </si>
  <si>
    <t>FZ200K1GEX-i02</t>
  </si>
  <si>
    <t>FZ150K1GFEx-i02</t>
  </si>
  <si>
    <t>FZ300K1GFEx-i02</t>
  </si>
  <si>
    <t>FZ623Ex-i03</t>
  </si>
  <si>
    <t>FZ3202Ex-i03</t>
  </si>
  <si>
    <t>FZ6202Ex-i03</t>
  </si>
  <si>
    <t>FZ15001Ex-i03</t>
  </si>
  <si>
    <t>FZ30K0.1GEx-i03</t>
  </si>
  <si>
    <t>FZ60K0.1GEx-i03</t>
  </si>
  <si>
    <t>FZ100K1GEx-i03</t>
  </si>
  <si>
    <t>FZ200K1GEx-i03</t>
  </si>
  <si>
    <t>FZ150K1GFEx-i03</t>
  </si>
  <si>
    <t>FZ300K1GFEx-i03</t>
  </si>
  <si>
    <t>120 г / 220 г</t>
  </si>
  <si>
    <t>EX-225/AD</t>
  </si>
  <si>
    <t>Анализаторы влажности MB
(сертифицированы по ТУ)</t>
  </si>
  <si>
    <t>Лабораторные весы ED (ГОСТ Р 53228-2008)</t>
  </si>
  <si>
    <t>DX-500</t>
  </si>
  <si>
    <t>DX-5000</t>
  </si>
  <si>
    <t>Комплект для определения плотности твердых тел и жидкостей DENSITY KIT</t>
  </si>
  <si>
    <t>Принтер с функцией статистики STAT</t>
  </si>
  <si>
    <r>
      <t>Комплект для определения плотности твердых тел и жидкостей DENSITY KIT (</t>
    </r>
    <r>
      <rPr>
        <b/>
        <sz val="10"/>
        <color indexed="8"/>
        <rFont val="Book Antiqua"/>
        <family val="1"/>
        <charset val="204"/>
      </rPr>
      <t>только для весов с ценой деления 0,001 г</t>
    </r>
    <r>
      <rPr>
        <sz val="10"/>
        <color indexed="8"/>
        <rFont val="Book Antiqua"/>
        <family val="1"/>
        <charset val="204"/>
      </rPr>
      <t>)</t>
    </r>
  </si>
  <si>
    <t>Микроаналитические весы AF
(ГОСТ OIML R76-1-2011)</t>
  </si>
  <si>
    <t>Внешний интерфейс RS-232С в Ethernet</t>
  </si>
  <si>
    <t>Аналитические весы AF
(ГОСТ OIML R76-1-2011)</t>
  </si>
  <si>
    <t>Ювелирные весы CT (G - высокая ветрозащита)
(ГОСТ OIML R76-1-2011)</t>
  </si>
  <si>
    <t>ALE-223R</t>
  </si>
  <si>
    <t>ALE-223</t>
  </si>
  <si>
    <t>ALE-323R</t>
  </si>
  <si>
    <t>ALE-323</t>
  </si>
  <si>
    <t>ALE-623R</t>
  </si>
  <si>
    <t>ALE-623</t>
  </si>
  <si>
    <t>ALE-1502R</t>
  </si>
  <si>
    <t>ALE-1502</t>
  </si>
  <si>
    <t>ALE-2202R</t>
  </si>
  <si>
    <t>ALE-2202</t>
  </si>
  <si>
    <t>ALE-3202R</t>
  </si>
  <si>
    <t>ALE-3202</t>
  </si>
  <si>
    <t>ALE-6202R</t>
  </si>
  <si>
    <t>ALE-6202</t>
  </si>
  <si>
    <t>ALE-8201R</t>
  </si>
  <si>
    <t>ALE-8201</t>
  </si>
  <si>
    <t>ALE-15001R</t>
  </si>
  <si>
    <t>ALE-15001</t>
  </si>
  <si>
    <t>160×180 мм</t>
  </si>
  <si>
    <t>ALE-ETH - выход Ethernet</t>
  </si>
  <si>
    <t>ALE-DK - комплект для измерения плотности</t>
  </si>
  <si>
    <t>ALE-RS - дополнительный выход RS232C</t>
  </si>
  <si>
    <t>ALE-LM - контакт реле</t>
  </si>
  <si>
    <t>ALE-UH(S) - крюк для взвешивания под весами (для весов с Max от 220 г до 1200 г)</t>
  </si>
  <si>
    <t>ALE-UH(M) - крюк для взвешивания под весами (для весов с Max от 1500 г до 15 кг)</t>
  </si>
  <si>
    <t>Лабораторные весы HCB
(ГОСТ OIML R76-1-2011)</t>
  </si>
  <si>
    <t>Технические (настольные) весы DCT
(не сертифицированы, поставляются без поверки)</t>
  </si>
  <si>
    <t>Счетные (настольные) весы AC-100</t>
  </si>
  <si>
    <t>Лабораторно-промышленные весы GP (весы на большие нагрузки с повышенной точностью)
(ГОСТ OIML R76-1-2011)</t>
  </si>
  <si>
    <t>Лабораторные весы GX
(ГОСТ OIML R76-1-2011)</t>
  </si>
  <si>
    <t>Лабораторные весы GF
(ГОСТ OIML R76-1-2011)</t>
  </si>
  <si>
    <t>Лабораторные весы EK-i / EW-i 
(ГОСТ OIML R76-1-2011)</t>
  </si>
  <si>
    <r>
      <t>Настольные весы NP (общего назначения)
(ГОСТ OIML R76-1-2011)
(</t>
    </r>
    <r>
      <rPr>
        <b/>
        <sz val="14"/>
        <color indexed="10"/>
        <rFont val="Book Antiqua"/>
        <family val="1"/>
        <charset val="204"/>
      </rPr>
      <t>Внимание!</t>
    </r>
    <r>
      <rPr>
        <b/>
        <sz val="14"/>
        <color indexed="9"/>
        <rFont val="Book Antiqua"/>
        <family val="1"/>
        <charset val="204"/>
      </rPr>
      <t xml:space="preserve"> Блок питания к весам - опция, при необходимости заказывается отдельно +600 руб. с НДС!)</t>
    </r>
  </si>
  <si>
    <r>
      <t>Настольные весы HL-i
(сертифицированы по ТУ, не имеют класса точности)
(</t>
    </r>
    <r>
      <rPr>
        <b/>
        <sz val="14"/>
        <color indexed="10"/>
        <rFont val="Book Antiqua"/>
        <family val="1"/>
        <charset val="204"/>
      </rPr>
      <t xml:space="preserve">Внимание! </t>
    </r>
    <r>
      <rPr>
        <b/>
        <sz val="14"/>
        <color indexed="9"/>
        <rFont val="Book Antiqua"/>
        <family val="1"/>
        <charset val="204"/>
      </rPr>
      <t>Блок питания к весам - опция, при необходимости заказывается отдельно +600 руб. с НДС!)</t>
    </r>
  </si>
  <si>
    <t>Карманные весы HJ
(не сертифицируются и не поверяются)</t>
  </si>
  <si>
    <r>
      <t>Настольные весы HT
(сертифицированы по ТУ, не имеют класса точности)
(</t>
    </r>
    <r>
      <rPr>
        <b/>
        <sz val="14"/>
        <color indexed="10"/>
        <rFont val="Book Antiqua"/>
        <family val="1"/>
        <charset val="204"/>
      </rPr>
      <t>Внимание!</t>
    </r>
    <r>
      <rPr>
        <b/>
        <sz val="14"/>
        <color indexed="9"/>
        <rFont val="Book Antiqua"/>
        <family val="1"/>
        <charset val="204"/>
      </rPr>
      <t xml:space="preserve"> Блок питания к весам - опция, при необходимости заказывается отдельно +600 руб. с НДС!)</t>
    </r>
  </si>
  <si>
    <r>
      <t>Настольные весы HL-WP (полностью пылевлагозащищенные весы из нержавеющей стали)
(сертифицированы по ТУ, не имеют класса точности)
(</t>
    </r>
    <r>
      <rPr>
        <b/>
        <sz val="14"/>
        <color indexed="10"/>
        <rFont val="Book Antiqua"/>
        <family val="1"/>
        <charset val="204"/>
      </rPr>
      <t>Внимание!</t>
    </r>
    <r>
      <rPr>
        <b/>
        <sz val="14"/>
        <color indexed="9"/>
        <rFont val="Book Antiqua"/>
        <family val="1"/>
        <charset val="204"/>
      </rPr>
      <t xml:space="preserve"> Блок питания к весам - опция, при необходимости заказывается отдельно +600 руб. с НДС!)</t>
    </r>
  </si>
  <si>
    <r>
      <t>Настольные весы SK-WP (полностью пылевлагозащищенные весы из нержавеющей стали)
(ГОСТ OIML R76-1-2011)
(</t>
    </r>
    <r>
      <rPr>
        <b/>
        <sz val="14"/>
        <color indexed="10"/>
        <rFont val="Book Antiqua"/>
        <family val="1"/>
        <charset val="204"/>
      </rPr>
      <t>Внимание!</t>
    </r>
    <r>
      <rPr>
        <b/>
        <sz val="14"/>
        <color indexed="9"/>
        <rFont val="Book Antiqua"/>
        <family val="1"/>
        <charset val="204"/>
      </rPr>
      <t xml:space="preserve"> Блок питания к весам - опция, при необходимости заказывается отдельно +600 руб. с НДС!)</t>
    </r>
  </si>
  <si>
    <t>Платформенные весы для контрольного взвешивания FS-i
(ГОСТ OIML R76-1-2011)</t>
  </si>
  <si>
    <t>Платформенные весы FG (со стойкой - "А", без стойки - "В", большая платформа - "L", малая платформа - "M")
(ГОСТ OIML R76-1-2011)</t>
  </si>
  <si>
    <t>Платформенные весы HV-WP / HW-WP (100% пылевлагозащита)
(ГОСТ OIML R76-1-2011)</t>
  </si>
  <si>
    <r>
      <t xml:space="preserve">Платформенные весы SW (максимальная пылевлагозащита защита - IP69 всех узлов)
(ГОСТ OIML R76-1-2011)
</t>
    </r>
    <r>
      <rPr>
        <b/>
        <sz val="14"/>
        <color indexed="10"/>
        <rFont val="Book Antiqua"/>
        <family val="1"/>
        <charset val="204"/>
      </rPr>
      <t>Сняты с производства, уточняйте наличие</t>
    </r>
  </si>
  <si>
    <t>Платформенные весы EM
(ГОСТ OIML R76-1-2011)</t>
  </si>
  <si>
    <t>АВГ-60</t>
  </si>
  <si>
    <t>0.001 г / 0,01 %</t>
  </si>
  <si>
    <t>Цена деления по весу / влажности</t>
  </si>
  <si>
    <t>Ø 95 мм</t>
  </si>
  <si>
    <t>Набор для определения плотности SMK-401</t>
  </si>
  <si>
    <t>Внешняя клавиатура ПВК-1</t>
  </si>
  <si>
    <t>Выносной пульт с возможностью индикации и управления весами ВП-1</t>
  </si>
  <si>
    <t>Интерфейс USB</t>
  </si>
  <si>
    <t>Ионизатор для удаления статического электричества с образцов STABLO AP</t>
  </si>
  <si>
    <t>Интерфейс RS-232 (только для ВЛ-В, ВЛ)</t>
  </si>
  <si>
    <t>Интерфейс USB (для любых моделей)</t>
  </si>
  <si>
    <t>ВЛТЭ-410*</t>
  </si>
  <si>
    <t>ВЛТЭ-4100*</t>
  </si>
  <si>
    <t>ВЛТЭ-8100*</t>
  </si>
  <si>
    <t>ВЛТЭ-410С</t>
  </si>
  <si>
    <t>Лабораторные весы ВЛЭ-С
(ГОСТ OIML R76-1-2011)</t>
  </si>
  <si>
    <t>Лабораторные весы ВЛТЭ-Т
(ГОСТ OIML R76-1-2011)</t>
  </si>
  <si>
    <t>ВЛТЭ-4100Т*</t>
  </si>
  <si>
    <t>ВЛТЭ-8100T*</t>
  </si>
  <si>
    <t>Платформенные весы ВПВ и ВПВ-С
(ГОСТ OIML R76-1-2011)</t>
  </si>
  <si>
    <t>Выносной пульт с возможностью индикации и управления весами ВП-2</t>
  </si>
  <si>
    <t>Платформенные весы ВПТ
(ГОСТ OIML R76-1-2011)</t>
  </si>
  <si>
    <t>Платформенные весы ВПС
(ГОСТ OIML R76-1-2011)</t>
  </si>
  <si>
    <t>~ 20%</t>
  </si>
  <si>
    <t>Аналитические весы СЕ
(ГОСТ Р 53228-2008)</t>
  </si>
  <si>
    <t>Лабораторные весы СЕ
(ГОСТ Р 53228-2008)</t>
  </si>
  <si>
    <t>Лабораторные весы ВМ
(Сертифицированы по ТУ 4274-003-58887924-2007)</t>
  </si>
  <si>
    <t>Лабораторные весы ВМ-II
(ГОСТ OIML R76-1-2011), регистрационный номер № 52773-13</t>
  </si>
  <si>
    <t>Аналитические весы АВ ("А" - витрина белого цвета, "С" - исполнение с повышенной защитой от коррозии,
"М" - автоматическая калибровка встроенной гирей при изменении температуры и по времени)
(ГОСТ OIML R76-1-2011), регистрационный номер № 54970-13</t>
  </si>
  <si>
    <t>Лабораторные весы АВ ("А" - витрина белого цвета, "С" - исполнение с повышенной защитой от коррозии,
"М" - автоматическая калибровка встроенной гирей при изменении температуры и по времени)
(ГОСТ OIML R76-1-2011), регистрационный номер № 54970-13</t>
  </si>
  <si>
    <t>Микроаналитические и аналитические весы CAUY / CAUX / CAUW
(ГОСТ OIML R76-1-2011), номер в госреестре № 50692-12</t>
  </si>
  <si>
    <t>Микроаналитические весы DA
(ГОСТ OIML R76-1-2011), регистрационный номер № 69482-17</t>
  </si>
  <si>
    <t>Аналитические весы DA
(ГОСТ OIML R76-1-2011), регистрационный номер № 69482-17</t>
  </si>
  <si>
    <t>Лабораторные весы DA
(ГОСТ OIML R76-1-2011), регистрационный номер № 69482-17</t>
  </si>
  <si>
    <t>Лабораторные весы DL
(ГОСТ OIML R76-1-2011), регистрационный номер № 63847-16</t>
  </si>
  <si>
    <t>Аналитические весы CY
(ГОСТ OIML R76-1-2011), регистрационный номер № 57917-14</t>
  </si>
  <si>
    <t>Лабораторные весы CY
(ГОСТ OIML R76-1-2011), регистрационный номер № 57917-14</t>
  </si>
  <si>
    <t>Лабораторные весы ALE
(ГОСТ OIML R76-1-2011), регистрационный номер № 70043-17</t>
  </si>
  <si>
    <t>???%</t>
  </si>
  <si>
    <t>цена по запросу авторизация</t>
  </si>
  <si>
    <t>Лабораторные весы ВК
(ГОСТ Р 53228-2008), регистрационный номер № 48026-11</t>
  </si>
  <si>
    <r>
      <t xml:space="preserve">Настольные весы МК-А
(ГОСТ OIML R76-1-2011), регистрационный номер № 55369-13
</t>
    </r>
    <r>
      <rPr>
        <b/>
        <sz val="12"/>
        <color theme="0"/>
        <rFont val="Book Antiqua"/>
        <family val="1"/>
        <charset val="204"/>
      </rPr>
      <t>МК-А20              - светодиодный дисплей / без аккумулятора / без интерфейсов
МК-А11              - жидкокристаллический дисплей / встроенный аккумулятор / без интерфейсов
МК-А21              - светодиодный дисплей / встроенный аккумулятор / без интерфейсов
МК-А21 (RU)     - светодиодный дисплей / встроенный аккумулятор / два интерфейса: RS-232 и USB-B
МК-А21 (RUW) - светодиодный дисплей / встроенный аккумулятор / два интерфейса: RS-232 и USB-B / передача по Wi-Fi
МК-А21 (RI)      - светодиодный дисплей / встроенный аккумулятор / интерфейс RS-232 / разъем для подключения выносного индикатора
МК-А21 (UI)      - светодиодный дисплей / встроенный аккумулятор / интерфейс USB-B / разъем для подключения выносного индикатора
МК-А21 (UE)     - светодиодный дисплей / встроенный аккумулятор / два интерфейса: USB-B и Ethernet</t>
    </r>
  </si>
  <si>
    <t>МК-3.2-А21 (RU)</t>
  </si>
  <si>
    <t>МК-6.2-А21 (RU)</t>
  </si>
  <si>
    <t>МК-15.2-А21 (RU)</t>
  </si>
  <si>
    <t>МК-32.2-А21 (RU)</t>
  </si>
  <si>
    <t>МК-3.2-А21 (RUW)</t>
  </si>
  <si>
    <t>МК-6.2-А21 (RUW)</t>
  </si>
  <si>
    <t>МК-15.2-А21 (RUW)</t>
  </si>
  <si>
    <t>МК-32.2-А21 (RUW)</t>
  </si>
  <si>
    <t>МК-3.2-А21 (RI)</t>
  </si>
  <si>
    <t>МК-6.2-А21 (RI)</t>
  </si>
  <si>
    <t>МК-15.2-А21 (RI)</t>
  </si>
  <si>
    <t>МК-32.2-А21 (RI)</t>
  </si>
  <si>
    <t>МК-3.2-А21 (UI)</t>
  </si>
  <si>
    <t>МК-6.2-А21 (UI)</t>
  </si>
  <si>
    <t>МК-15.2-А21 (UI)</t>
  </si>
  <si>
    <t>МК-32.2-А21 (UI)</t>
  </si>
  <si>
    <t>МК-3.2-А21 (UE)</t>
  </si>
  <si>
    <t>МК-6.2-А21 (UE)</t>
  </si>
  <si>
    <t>МК-15.2-А21 (UE)</t>
  </si>
  <si>
    <t>МК-32.2-А21 (UE)</t>
  </si>
  <si>
    <t>ИВ-3С - дополнительный выносной индикатор (только для моделей МК-А21 (RI) и МК-А21 (UI))</t>
  </si>
  <si>
    <t>Счетные весы МК-С21
(ГОСТ OIML R76-1-2011), регистрационный номер № 55369-13</t>
  </si>
  <si>
    <t>Настольные весы МК-АВ11 (влагозащищенные, ЖК индикатор, с аккумулятором)
(ГОСТ OIML R76-1-2011), регистрационный номер № 55369-13</t>
  </si>
  <si>
    <t>Настольные весы МК-АВ20 (влагозащищенные, светодиодный индикатор, без аккумулятора)
(ГОСТ OIML R76-1-2011), регистрационный номер № 55369-13</t>
  </si>
  <si>
    <t>Торговые весы МК-Т21 (весы с выносным индикатором)
(ГОСТ OIML R76-1-2011), регистрационный номер № 55369-13</t>
  </si>
  <si>
    <t>Торговые весы МК-ТН11 (ЖК индикатор, с аккумулятором)
(ГОСТ OIML R76-1-2011), регистрационный номер № 55369-13</t>
  </si>
  <si>
    <r>
      <t xml:space="preserve">Торговые весы МК-ТН21 (светодиодный индикатор, клавиатура снизу)
(ГОСТ OIML R76-1-2011), регистрационный номер № 55369-13
</t>
    </r>
    <r>
      <rPr>
        <b/>
        <sz val="12"/>
        <color theme="0"/>
        <rFont val="Book Antiqua"/>
        <family val="1"/>
        <charset val="204"/>
      </rPr>
      <t>МК-ТН21            - светодиодный дисплей / встроенный аккумулятор / без интерфейсов
МК-ТН21 (RU)   - светодиодный дисплей / встроенный аккумулятор / два интерфейса: RS-232 и USB-B</t>
    </r>
  </si>
  <si>
    <t>МК-6.2-ТН21 (RU)</t>
  </si>
  <si>
    <t>МК-15.2-ТН21 (RU)</t>
  </si>
  <si>
    <t>МК-32.2-ТН21 (RU)</t>
  </si>
  <si>
    <t>Весы-регистраторы МК-RA11 (базовая модель)
(ГОСТ OIML R76-1-2011), регистрационный номер № 55369-13</t>
  </si>
  <si>
    <t>Весы-регистраторы МК-RC11 (весы c печатью чеков и отчетов)
(ГОСТ OIML R76-1-2011), регистрационный номер № 55369-13</t>
  </si>
  <si>
    <t>Весы-регистраторы МК-RP10 (фасовочные весы с печатью этикеток, без подмотки)
(ГОСТ OIML R76-1-2011), регистрационный номер № 55369-13</t>
  </si>
  <si>
    <t>Весы-регистраторы МК-RP10-1 (фасовочные весы с печатью этикеток, с подмоткой)
(ГОСТ OIML R76-1-2011), регистрационный номер № 55369-13</t>
  </si>
  <si>
    <t>Весы-регистраторы МК-R2P10-1 (торговые весы с печатью этикеток, с подмоткой)
(ГОСТ OIML R76-1-2011), регистрационный номер № 55369-13</t>
  </si>
  <si>
    <t>Весы-регистраторы МК-R2P10 (торговые весы с печатью этикеток, без подмотки)
(ГОСТ OIML R76-1-2011), регистрационный номер № 55369-13</t>
  </si>
  <si>
    <t>МК-6.2-RL10-1</t>
  </si>
  <si>
    <t>МК-15.2-RL10-1</t>
  </si>
  <si>
    <t>МК-32.2-RL10-1</t>
  </si>
  <si>
    <t>Весы-регистраторы МК-RL10-1 (фасовочные с печатью этикеток, пыле- и влагозащищенный корпус)
(ГОСТ OIML R76-1-2011), регистрационный номер № 55369-13</t>
  </si>
  <si>
    <t>336×240 мм</t>
  </si>
  <si>
    <t>Весы-регистраторы МК-R2L10-1 (торговые с печатью этикеток, пыле- и влагозащищенный корпус)
(ГОСТ OIML R76-1-2011), регистрационный номер № 55369-13</t>
  </si>
  <si>
    <t>МК-6.2-R2L10-1</t>
  </si>
  <si>
    <t>МК-15.2-R2L10-1</t>
  </si>
  <si>
    <t>МК-32.2-R2L10-1</t>
  </si>
  <si>
    <t>Фасовочные весы ВПМ-Ф (весы с печатью этикеток; весы Ф1 - с подмоткой израсходованной ленты)
(ГОСТ Р 53228-2008), регистрационный номер № 35450-12</t>
  </si>
  <si>
    <t>Торговые весы ВПМ-Т (весы с печатью этикеток; весы Т1 - с подмоткой израсходованной ленты)
(ГОСТ Р 53228-2008), регистрационный номер № 35450-12</t>
  </si>
  <si>
    <t>Напольные весы ТВ-S-А (А1 - без стойки, А2 - складная стойка, А3 - стационарная стойка)
(ГОСТ Р 53228-2008), регистрационный номер № 48166-13</t>
  </si>
  <si>
    <t>Напольные весы ТВ-M-А (А1 - без стойки, А3 - стационарная стойка)
(ГОСТ Р 53228-2008), регистрационный номер № 48166-13</t>
  </si>
  <si>
    <t>Торговые весы ТВ-S-Т (Т1 - без стойки, Т2 - складная стойка, Т3 - стационарная стойка)
(ГОСТ Р 53228-2008), регистрационный номер № 48166-13</t>
  </si>
  <si>
    <t>ТВ-S-15.2-Т1</t>
  </si>
  <si>
    <t>ТВ-S-15.2-Т2</t>
  </si>
  <si>
    <t>ТВ-S-15.2-Т3</t>
  </si>
  <si>
    <t>ТВ-S-32.2-Т1</t>
  </si>
  <si>
    <t>ТВ-S-60.2-Т1</t>
  </si>
  <si>
    <t>ТВ-S-200.2-Т1</t>
  </si>
  <si>
    <t>ТВ-S-32.2-Т2</t>
  </si>
  <si>
    <t>ТВ-S-60.2-Т2</t>
  </si>
  <si>
    <t>ТВ-S-200.2-Т2</t>
  </si>
  <si>
    <t>ТВ-S-32.2-Т3</t>
  </si>
  <si>
    <t>ТВ-S-60.2-Т3</t>
  </si>
  <si>
    <t>ТВ-S-200.2-Т3</t>
  </si>
  <si>
    <t>Торговые весы ТВ-M-Т (Т1 - без стойки, Т3 - стационарная стойка)
(ГОСТ Р 53228-2008), регистрационный номер № 48166-13</t>
  </si>
  <si>
    <t>Медицинские весы ВЭМ-150 (А1 - без стойки, А2 - складная стойка, А3 - стационарная стойка, НДС не облагаются)
(OIML R76-1-2011), регистрационный номер № 27276-14</t>
  </si>
  <si>
    <t>Детские весы В1-15 "САША" (для взвешивания новорожденных, НДС не облагаются)
(OIML R76-1-2011), регистрационный номер № 16720-14</t>
  </si>
  <si>
    <t>Крановые весы ЕК (А - обычное исполнение, СМ - радиоканальное исполнение)
(ГОСТ Р 53228-2008), регистрационный номер № 48511-11</t>
  </si>
  <si>
    <t>4D-PM-1-500</t>
  </si>
  <si>
    <t>4D-PM-1-1000</t>
  </si>
  <si>
    <t>4D-PM-2-500</t>
  </si>
  <si>
    <t>4D-PM-2-1000</t>
  </si>
  <si>
    <t>4D-PM-2-1500</t>
  </si>
  <si>
    <t>4D-PM-3-1000</t>
  </si>
  <si>
    <t>4D-PM-3-2000</t>
  </si>
  <si>
    <t>4D-PM-3-3000</t>
  </si>
  <si>
    <t>4D-PM-7-1000</t>
  </si>
  <si>
    <t>4D-PM-7-2000</t>
  </si>
  <si>
    <t>4D-PM-7-3000</t>
  </si>
  <si>
    <t>1200×1000 мм</t>
  </si>
  <si>
    <t>Опции:</t>
  </si>
  <si>
    <t>ТВ-M-60.2-Т1</t>
  </si>
  <si>
    <t>ТВ-M-60.2-Т3</t>
  </si>
  <si>
    <t>ТВ-M-150.2-Т1</t>
  </si>
  <si>
    <t>ТВ-M-150.2-Т3</t>
  </si>
  <si>
    <t>ТВ-M-300.2-Т1</t>
  </si>
  <si>
    <t>ТВ-M-300.2-Т3</t>
  </si>
  <si>
    <t>ТВ-M-600.2-Т1</t>
  </si>
  <si>
    <t>ТВ-M-600.2-Т3</t>
  </si>
  <si>
    <r>
      <t xml:space="preserve">Модули взвешивающие 4D-PM (платформенные весы)
(OIML R76-1-2011), регистрационный номер № 52767-13
</t>
    </r>
    <r>
      <rPr>
        <b/>
        <sz val="14"/>
        <color rgb="FFFF0000"/>
        <rFont val="Book Antiqua"/>
        <family val="1"/>
        <charset val="204"/>
      </rPr>
      <t>ВАЖНО!</t>
    </r>
    <r>
      <rPr>
        <b/>
        <sz val="14"/>
        <color theme="0"/>
        <rFont val="Book Antiqua"/>
        <family val="1"/>
        <charset val="204"/>
      </rPr>
      <t xml:space="preserve"> При заказе помним, что это "конструктор":
 - выбираем платформу (модуль)
 - выбираем терминал
 - выбираем опции (при необходимости)</t>
    </r>
  </si>
  <si>
    <t>RL - терминал-регистратор с печатью этикеток</t>
  </si>
  <si>
    <t>R2L - терминал-регистратор с печатью этикеток / 2 индикатора</t>
  </si>
  <si>
    <t>DI4D.W  (промышленный индикатор)
для подключения к терминалам A/4D, AB/4D, A.W/4D, AB.W/4D, а также к терминалам RA, RC, RP, R2P</t>
  </si>
  <si>
    <t>4D-PNРМ-2 - пандус к модулям 4D-PМ-2</t>
  </si>
  <si>
    <t>4D-PNРМ-3 - пандус к модулям 4D-PМ-3</t>
  </si>
  <si>
    <t>4D-PNРМ-7 - пандус к модулям 4D-PМ-7</t>
  </si>
  <si>
    <t>RM4D-PМ-2 - рама для приямка к модулям 4D-PМ-2</t>
  </si>
  <si>
    <t>RM4D-PМ-3 - рама для приямка к модулям 4D-PМ-3</t>
  </si>
  <si>
    <t>RM4D-PМ-7 - рама для приямка к модулям 4D-PМ-7</t>
  </si>
  <si>
    <r>
      <t xml:space="preserve">Анализаторы влажности MA
(сертифицированы по ТУ)
</t>
    </r>
    <r>
      <rPr>
        <b/>
        <sz val="14"/>
        <color rgb="FFFF0000"/>
        <rFont val="Book Antiqua"/>
        <family val="1"/>
        <charset val="204"/>
      </rPr>
      <t>МА-150 снят с производства, в остатках нет.</t>
    </r>
  </si>
  <si>
    <t>Принтер EP-100 (без дисплея) / EP-110 (с дисплеем)</t>
  </si>
  <si>
    <t>ВЛ-64</t>
  </si>
  <si>
    <t>ВЛ-84В</t>
  </si>
  <si>
    <t>82 г</t>
  </si>
  <si>
    <t>ВЛ-84В-С</t>
  </si>
  <si>
    <t>внутренняя
самокалибровка</t>
  </si>
  <si>
    <t>ВЛ-124В-С</t>
  </si>
  <si>
    <t>ВЛ-224В-С</t>
  </si>
  <si>
    <t>ВЛ-324</t>
  </si>
  <si>
    <t>ВЛ-324В</t>
  </si>
  <si>
    <t>ВЛ-324В-С</t>
  </si>
  <si>
    <t>Набор для определения плотности SMK-401 (только для ВЛ-С)</t>
  </si>
  <si>
    <t>Лабораторные весы ВЛТЭ
(ГОСТ OIML R76-1-2011, кроме моделей со знаком * - сертифицированы по ТУ)</t>
  </si>
  <si>
    <t>Набор для определения плотности SMK-101 (для 170×180 мм) / SMK-102 (для 108×105 мм) / для ВЛЭ-223С невозможен вообще</t>
  </si>
  <si>
    <r>
      <t xml:space="preserve">Платформенные весы HV (дисплеи: жидкокристаллический - "L" и вакуумфлюоресцентный - "V")
(ГОСТ OIML R76-1-2011)
</t>
    </r>
    <r>
      <rPr>
        <b/>
        <sz val="14"/>
        <color rgb="FFFF0000"/>
        <rFont val="Book Antiqua"/>
        <family val="1"/>
        <charset val="204"/>
      </rPr>
      <t>Серия снята с производства. Распродаются остатки.</t>
    </r>
  </si>
  <si>
    <t>Лабораторные весы JW-1
(ГОСТ OIML R76-1-2011), регистрационный номер № 70462-18</t>
  </si>
  <si>
    <t>Счетные (настольные) весы JW-1C
(ГОСТ OIML R76-1-2011), регистрационный номер № 70462-18</t>
  </si>
  <si>
    <t>Торговые весы МК-ТВ21 (светодиодный индикатор, встроенный аккумулятор, без интерфейсов, клавиатура сверху)
(ГОСТ OIML R76-1-2011), регистрационный номер № 55369-13</t>
  </si>
  <si>
    <t>Терминал А (RUEW) / наличие RS-232, USB, Ethernet и Wi-Fi</t>
  </si>
  <si>
    <t>Терминал А / наличие RS-232</t>
  </si>
  <si>
    <t>Терминал АВ / влагозащищенный из нержавеющей стали</t>
  </si>
  <si>
    <t>Терминал АВ (RUEW) / влагозащищенный из нержавеющей стали / наличие RS-232, USB, Ethernet и Wi-Fi</t>
  </si>
  <si>
    <r>
      <t xml:space="preserve">Микровесы BM, микроаналитические весы BM, аналитические весы BM
(сертифицированы по ТУ, не имеют класса точности / </t>
    </r>
    <r>
      <rPr>
        <b/>
        <sz val="14"/>
        <color indexed="13"/>
        <rFont val="Book Antiqua"/>
        <family val="1"/>
        <charset val="204"/>
      </rPr>
      <t xml:space="preserve">сертификат </t>
    </r>
    <r>
      <rPr>
        <b/>
        <sz val="14"/>
        <color indexed="10"/>
        <rFont val="Book Antiqua"/>
        <family val="1"/>
        <charset val="204"/>
      </rPr>
      <t>закончил</t>
    </r>
    <r>
      <rPr>
        <b/>
        <sz val="14"/>
        <color indexed="13"/>
        <rFont val="Book Antiqua"/>
        <family val="1"/>
        <charset val="204"/>
      </rPr>
      <t xml:space="preserve"> свое действие, продлеваться не будет</t>
    </r>
    <r>
      <rPr>
        <b/>
        <sz val="14"/>
        <color indexed="9"/>
        <rFont val="Book Antiqua"/>
        <family val="1"/>
        <charset val="204"/>
      </rPr>
      <t xml:space="preserve">)
</t>
    </r>
    <r>
      <rPr>
        <b/>
        <sz val="14"/>
        <color rgb="FFFF0000"/>
        <rFont val="Book Antiqua"/>
        <family val="1"/>
        <charset val="204"/>
      </rPr>
      <t>Распродаются остатки</t>
    </r>
  </si>
  <si>
    <t>MC-100KS</t>
  </si>
  <si>
    <t>PX-84</t>
  </si>
  <si>
    <t>PX-85</t>
  </si>
  <si>
    <t>PX-125D</t>
  </si>
  <si>
    <t>PX-225D</t>
  </si>
  <si>
    <t>PX-84/E</t>
  </si>
  <si>
    <t>PX-124/E</t>
  </si>
  <si>
    <t>PX-124</t>
  </si>
  <si>
    <t>PX-224/E</t>
  </si>
  <si>
    <t>PX-224</t>
  </si>
  <si>
    <t>EX-35001</t>
  </si>
  <si>
    <t>35 кг</t>
  </si>
  <si>
    <t>PX-163/E</t>
  </si>
  <si>
    <t>PX-163</t>
  </si>
  <si>
    <t>PX-223/E</t>
  </si>
  <si>
    <t>PX-223</t>
  </si>
  <si>
    <t>PX-323/E</t>
  </si>
  <si>
    <t>PX-323</t>
  </si>
  <si>
    <t>PX-423/E</t>
  </si>
  <si>
    <t>PX-423</t>
  </si>
  <si>
    <t>PX-523/E</t>
  </si>
  <si>
    <t>PX-523</t>
  </si>
  <si>
    <t>PX-822/E</t>
  </si>
  <si>
    <t>PX-822</t>
  </si>
  <si>
    <t>PX-1602/E</t>
  </si>
  <si>
    <t>PX-1602</t>
  </si>
  <si>
    <t>PX-2202/E</t>
  </si>
  <si>
    <t>PX-2202</t>
  </si>
  <si>
    <t>PX-3202/E</t>
  </si>
  <si>
    <t>PX-3202</t>
  </si>
  <si>
    <t>PX-4202/E</t>
  </si>
  <si>
    <t>PX-4202</t>
  </si>
  <si>
    <t>PX-5202/E</t>
  </si>
  <si>
    <t>PX-5202</t>
  </si>
  <si>
    <t>PX-2201/E</t>
  </si>
  <si>
    <t>PX-2201</t>
  </si>
  <si>
    <t>PX-4201/E</t>
  </si>
  <si>
    <t>PX-4201</t>
  </si>
  <si>
    <t>PX-6201/E</t>
  </si>
  <si>
    <t>PX-8201/E</t>
  </si>
  <si>
    <t>160 г</t>
  </si>
  <si>
    <r>
      <t xml:space="preserve">Аналитические весы PA (Pioneer) - </t>
    </r>
    <r>
      <rPr>
        <b/>
        <sz val="14"/>
        <color rgb="FFFF0000"/>
        <rFont val="Book Antiqua"/>
        <family val="1"/>
        <charset val="204"/>
      </rPr>
      <t>сняты с производства / заменены на серию PX / распродаются остатки</t>
    </r>
    <r>
      <rPr>
        <b/>
        <sz val="14"/>
        <color theme="0"/>
        <rFont val="Book Antiqua"/>
        <family val="1"/>
        <charset val="204"/>
      </rPr>
      <t xml:space="preserve">
(ГОСТ OIML R76-1-2011)</t>
    </r>
  </si>
  <si>
    <r>
      <t xml:space="preserve">Лабораторные весы PA (Pioneer) - </t>
    </r>
    <r>
      <rPr>
        <b/>
        <sz val="14"/>
        <color rgb="FFFF0000"/>
        <rFont val="Book Antiqua"/>
        <family val="1"/>
        <charset val="204"/>
      </rPr>
      <t>сняты с производства / заменены на серию PX / распродаются остатки</t>
    </r>
    <r>
      <rPr>
        <b/>
        <sz val="14"/>
        <color theme="0"/>
        <rFont val="Book Antiqua"/>
        <family val="1"/>
        <charset val="204"/>
      </rPr>
      <t xml:space="preserve">
(ГОСТ OIML R76-1-2011)</t>
    </r>
  </si>
  <si>
    <t>Аналитические весы AX (Adventurer)
(ГОСТ OIML R76-1-2011)</t>
  </si>
  <si>
    <t>Лабораторные весы AX (Adventurer)
(ГОСТ OIML R76-1-2011)</t>
  </si>
  <si>
    <t>Анализатор влажности зерна
(не сертифицированы, поставляются без поверки)</t>
  </si>
  <si>
    <t>Настольные весы NVL (NVT) (Navigator)
(сертифицированы по ТУ)</t>
  </si>
  <si>
    <t>Лабораторные весы STX (Scout STX)  / Особенность - сенсорный цветной дисплей
(ГОСТ OIML R76-1-2011)</t>
  </si>
  <si>
    <t>Лабораторные весы SPX (Scout SPX) / Особенность - цветной ЖК дисплей
(ГОСТ OIML R76-1-2011)</t>
  </si>
  <si>
    <t>Лабораторные весы SJX (Scout SJX) / Особенность - черно-белый ЖК дисплей
(ГОСТ OIML R76-1-2011)</t>
  </si>
  <si>
    <t>ВМ-24001 для поверки</t>
  </si>
  <si>
    <t>SWN-6 USB</t>
  </si>
  <si>
    <t>SWN-15 USB</t>
  </si>
  <si>
    <t>Платформа из нержавеющей стали для весов SWN</t>
  </si>
  <si>
    <t>Порт SW-RS</t>
  </si>
  <si>
    <t>Порт USB</t>
  </si>
  <si>
    <t>PR-6B (LCD, II)</t>
  </si>
  <si>
    <t>PR-6P (LCD, II)</t>
  </si>
  <si>
    <t>PR-15B (LCD, II)</t>
  </si>
  <si>
    <t>PR-15P (LCD, II)</t>
  </si>
  <si>
    <t>PR-30B (LCD, II)</t>
  </si>
  <si>
    <t>PR-30P (LCD, II)</t>
  </si>
  <si>
    <t>RW-10-2</t>
  </si>
  <si>
    <t>RW-15-2</t>
  </si>
  <si>
    <t>Взрывобезопасные весы GZ / завершаются поставки в связи спереходом на серию FZ / распродаются остатки
(ГОСТ OIML R76-1-2011)</t>
  </si>
  <si>
    <t>Лабораторные весы EX (Explorer)
(ГОСТ OIML R76-1-2011), регистрационный номер № 68363-17</t>
  </si>
  <si>
    <r>
      <t xml:space="preserve">Микроаналитические весы EX (Explorer)
</t>
    </r>
    <r>
      <rPr>
        <b/>
        <sz val="14"/>
        <color indexed="13"/>
        <rFont val="Book Antiqua"/>
        <family val="1"/>
        <charset val="204"/>
      </rPr>
      <t>Модели с "/AD" - имеют автоматические дверцы ветрозащиты и только в этих моделях встроенный ионизатор</t>
    </r>
    <r>
      <rPr>
        <b/>
        <sz val="14"/>
        <color indexed="9"/>
        <rFont val="Book Antiqua"/>
        <family val="1"/>
        <charset val="204"/>
      </rPr>
      <t xml:space="preserve">
(ГОСТ OIML R76-1-2011), регистрационный номер № 68363-17</t>
    </r>
  </si>
  <si>
    <t>Аналитические весы EX (Explorer) (AD - автоматические дверцы)
(ГОСТ OIML R76-1-2011), регистрационный номер № 68363-17</t>
  </si>
  <si>
    <r>
      <t xml:space="preserve">Микроаналитические весы PX (Pioneer </t>
    </r>
    <r>
      <rPr>
        <b/>
        <sz val="14"/>
        <color rgb="FFFF0000"/>
        <rFont val="Book Antiqua"/>
        <family val="1"/>
        <charset val="204"/>
      </rPr>
      <t>new</t>
    </r>
    <r>
      <rPr>
        <b/>
        <sz val="14"/>
        <color theme="0"/>
        <rFont val="Book Antiqua"/>
        <family val="1"/>
        <charset val="204"/>
      </rPr>
      <t>)
(ГОСТ OIML R76-1-2011), регистрационный номер № 73104-18</t>
    </r>
  </si>
  <si>
    <r>
      <t xml:space="preserve">Аналитические весы PX (Pioneer </t>
    </r>
    <r>
      <rPr>
        <b/>
        <sz val="14"/>
        <color rgb="FFFF0000"/>
        <rFont val="Book Antiqua"/>
        <family val="1"/>
        <charset val="204"/>
      </rPr>
      <t>new</t>
    </r>
    <r>
      <rPr>
        <b/>
        <sz val="14"/>
        <color theme="0"/>
        <rFont val="Book Antiqua"/>
        <family val="1"/>
        <charset val="204"/>
      </rPr>
      <t>)
(ГОСТ OIML R76-1-2011), регистрационный номер № 73104-18</t>
    </r>
  </si>
  <si>
    <r>
      <t xml:space="preserve">Лабораторные весы PX (Pioneer </t>
    </r>
    <r>
      <rPr>
        <b/>
        <sz val="14"/>
        <color rgb="FFFF0000"/>
        <rFont val="Book Antiqua"/>
        <family val="1"/>
        <charset val="204"/>
      </rPr>
      <t>new</t>
    </r>
    <r>
      <rPr>
        <b/>
        <sz val="14"/>
        <color theme="0"/>
        <rFont val="Book Antiqua"/>
        <family val="1"/>
        <charset val="204"/>
      </rPr>
      <t>)
(ГОСТ OIML R76-1-2011), регистрационный номер № 73104-18</t>
    </r>
  </si>
  <si>
    <t>10 г / 20 г /50 г</t>
  </si>
  <si>
    <t>ВЛА-120C</t>
  </si>
  <si>
    <t>ВЛА-120С-O</t>
  </si>
  <si>
    <t>ВЛА-220C</t>
  </si>
  <si>
    <t>ВЛА-220С-O</t>
  </si>
  <si>
    <t>ВЛА-320C</t>
  </si>
  <si>
    <t>ВЛА-320С-O</t>
  </si>
  <si>
    <t>Набор для определения плотности SMK-601</t>
  </si>
  <si>
    <t>Комплект USB-накопителей для сохранения результатов измерений (5 шт.) - для серии ВЛА-С-О</t>
  </si>
  <si>
    <t>Сканер штрих кодов - для серии ВЛА-С-О</t>
  </si>
  <si>
    <t>ВЛА-120М</t>
  </si>
  <si>
    <t>ВЛА-135М</t>
  </si>
  <si>
    <t>ВЛА-220М</t>
  </si>
  <si>
    <t>ВЛА-225М</t>
  </si>
  <si>
    <t>ВЛА-225М
+ионизатор</t>
  </si>
  <si>
    <t>135 г</t>
  </si>
  <si>
    <t>102 г / 220 г</t>
  </si>
  <si>
    <t>Комплект USB-накопителей для сохранения результатов измерений (5 шт.)</t>
  </si>
  <si>
    <t>Сканер штрих кодов</t>
  </si>
  <si>
    <t>Анализатор влажности АВГ
(сертифицирован по ТУ, класс точности не предусмотрен), регистрационный номер № 69174-17</t>
  </si>
  <si>
    <t>Микроаналитические весы ВЛА-М
(ГОСТ OIML R76-1-2011), регистрационный номер № 73040-18</t>
  </si>
  <si>
    <t>Аналитические весы ВЛА-С, ВЛА-С-О ("С-О" имеют дополнительный USB-интерфейс типа А, под "флешку")
(ГОСТ OIML R76-1-2011), регистрационный номер № 73040-18</t>
  </si>
  <si>
    <t>Микроаналитические весы ВЛ-М
(ГОСТ OIML R76-1-2011), регистрационный номер № 71442-18</t>
  </si>
  <si>
    <t>Аналитические весы ВЛ, ВЛ-В, ВЛ-В-С, ВЛ-С
(ГОСТ OIML R76-1-2011), регистрационный номер № 71442-18</t>
  </si>
  <si>
    <r>
      <t xml:space="preserve">Аналитические весы ED (ГОСТ Р 53228-2008)
</t>
    </r>
    <r>
      <rPr>
        <b/>
        <sz val="14"/>
        <color rgb="FFFF0000"/>
        <rFont val="Book Antiqua"/>
        <family val="1"/>
        <charset val="204"/>
      </rPr>
      <t>Сняты с производства, в остатках нет.</t>
    </r>
  </si>
  <si>
    <t>Фасовочные влагозащищенные весы MSW (класс защиты IP-67)
(ГОСТ OIML R76-1-2011)</t>
  </si>
  <si>
    <t>MSW-3</t>
  </si>
  <si>
    <t>MSW-6</t>
  </si>
  <si>
    <t>MSW-15</t>
  </si>
  <si>
    <t>MSW-30</t>
  </si>
  <si>
    <t>260×200 мм</t>
  </si>
  <si>
    <t>DATECS EP-50 - микропринтер</t>
  </si>
  <si>
    <t>BTZ - Устройство для беспроводной передачи данных через Bluetooth</t>
  </si>
  <si>
    <t>FS-WS-S - Ветрозащита маленькая для FS/FZ 623 (206 × 206 × 70)</t>
  </si>
  <si>
    <t>FS-WS-M - Ветрозащита средняя для FS/FZ 623 (206 × 206 × 120)</t>
  </si>
  <si>
    <t>FS-WS-L - Ветрозащита большая для FS/FZ 623 (206 × 206 × 175)</t>
  </si>
  <si>
    <t>FZ623Ex-i02
BAT</t>
  </si>
  <si>
    <r>
      <t xml:space="preserve">Промыленные весы FZ повышенной точности и полностью пылевлагозащищенные из нержавеющей стали
</t>
    </r>
    <r>
      <rPr>
        <b/>
        <sz val="14"/>
        <color indexed="13"/>
        <rFont val="Book Antiqua"/>
        <family val="1"/>
        <charset val="204"/>
      </rPr>
      <t>(во взрывозащищенном исполнении) / BAT - работа от батарей</t>
    </r>
    <r>
      <rPr>
        <b/>
        <sz val="14"/>
        <color indexed="9"/>
        <rFont val="Book Antiqua"/>
        <family val="1"/>
        <charset val="204"/>
      </rPr>
      <t xml:space="preserve">
(ГОСТ OIML R76-1-2011)</t>
    </r>
  </si>
  <si>
    <t>FZ3202Ex-i02
BAT</t>
  </si>
  <si>
    <t>FZ6202Ex-i02
BAT</t>
  </si>
  <si>
    <t>FZ15001Ex-i02
BAT</t>
  </si>
  <si>
    <t>FZ30K0.1GEx-i02
BAT</t>
  </si>
  <si>
    <t>FZ60K0.1GEX-i02
BAT</t>
  </si>
  <si>
    <t>FZ100K1GEx-i02
BAT</t>
  </si>
  <si>
    <t>FZ200K1GEX-i02
BAT</t>
  </si>
  <si>
    <t>FZ150K1GFEx-i02
BAT</t>
  </si>
  <si>
    <t>FZ300K1GFEx-i02
BAT</t>
  </si>
  <si>
    <t>FZ623Ex-i03
BAT</t>
  </si>
  <si>
    <t>FZ3202Ex-i03
BAT</t>
  </si>
  <si>
    <t>FZ6202Ex-i03
BAT</t>
  </si>
  <si>
    <t>FZ15001Ex-i03
BAT</t>
  </si>
  <si>
    <t>FZ30K0.1GEx-i03
BAT</t>
  </si>
  <si>
    <t>FZ60K0.1GEx-i03
BAT</t>
  </si>
  <si>
    <t>FZ100K1GEx-i03
BAT</t>
  </si>
  <si>
    <t>FZ200K1GEx-i03
BAT</t>
  </si>
  <si>
    <t>FZ150K1GFEx-i03
BAT</t>
  </si>
  <si>
    <t>FZ300K1GFEx-i03
BAT</t>
  </si>
  <si>
    <t>~ 15%</t>
  </si>
  <si>
    <t>PM1E-100 4050</t>
  </si>
  <si>
    <t>PM1E-100 4560</t>
  </si>
  <si>
    <t>PM1E-150 4050</t>
  </si>
  <si>
    <t>PM1E-150 4560</t>
  </si>
  <si>
    <t>PM1E-150 5060</t>
  </si>
  <si>
    <t>PM1E-300 4560</t>
  </si>
  <si>
    <t>PM1E-300 5060</t>
  </si>
  <si>
    <t>PM1E-300 6080</t>
  </si>
  <si>
    <t>PM1E-500 6080</t>
  </si>
  <si>
    <t>PM1B-100 4050</t>
  </si>
  <si>
    <t>PM1B-100 4560</t>
  </si>
  <si>
    <t>PM1B-150 4050</t>
  </si>
  <si>
    <t>PM1B-150 4560</t>
  </si>
  <si>
    <t>PM1B-300 4560</t>
  </si>
  <si>
    <t>PM1B-300 5060</t>
  </si>
  <si>
    <t>PM1B-300 6080</t>
  </si>
  <si>
    <t>PM1B-500 6080</t>
  </si>
  <si>
    <t>PM1B-150 5060</t>
  </si>
  <si>
    <t>PM1H-100 4050</t>
  </si>
  <si>
    <t>PM1H-150 4050</t>
  </si>
  <si>
    <t>PM1H-300 5060</t>
  </si>
  <si>
    <t>PM1H-300 6080</t>
  </si>
  <si>
    <t>PM1H-500 6080</t>
  </si>
  <si>
    <t>PM1H-150 4560</t>
  </si>
  <si>
    <r>
      <t xml:space="preserve">Платформенные весы HW (дисплеи: жидкокристаллический - "L" и вакуумфлюоресцентный - "V")
(ГОСТ OIML R76-1-2011)
</t>
    </r>
    <r>
      <rPr>
        <b/>
        <sz val="14"/>
        <color rgb="FFFF0000"/>
        <rFont val="Book Antiqua"/>
        <family val="1"/>
        <charset val="204"/>
      </rPr>
      <t>Серия снята с производства.</t>
    </r>
  </si>
  <si>
    <r>
      <t xml:space="preserve">Лабораторные весы ВЛТЭ-С
(ГОСТ OIML R76-1-2011)
</t>
    </r>
    <r>
      <rPr>
        <b/>
        <sz val="14"/>
        <color rgb="FFFF0000"/>
        <rFont val="Book Antiqua"/>
        <family val="1"/>
        <charset val="204"/>
      </rPr>
      <t>весы со знаком * - старт продаж с 01.07.2019</t>
    </r>
  </si>
  <si>
    <r>
      <t>ВЛТЭ-1100С</t>
    </r>
    <r>
      <rPr>
        <b/>
        <sz val="10"/>
        <color rgb="FFFF0000"/>
        <rFont val="Book Antiqua"/>
        <family val="1"/>
        <charset val="204"/>
      </rPr>
      <t>*</t>
    </r>
  </si>
  <si>
    <r>
      <t>ВЛТЭ-2100С</t>
    </r>
    <r>
      <rPr>
        <b/>
        <sz val="10"/>
        <color rgb="FFFF0000"/>
        <rFont val="Book Antiqua"/>
        <family val="1"/>
        <charset val="204"/>
      </rPr>
      <t>*</t>
    </r>
  </si>
  <si>
    <r>
      <t>ВЛТЭ-3100С</t>
    </r>
    <r>
      <rPr>
        <b/>
        <sz val="10"/>
        <color rgb="FFFF0000"/>
        <rFont val="Book Antiqua"/>
        <family val="1"/>
        <charset val="204"/>
      </rPr>
      <t>*</t>
    </r>
  </si>
  <si>
    <r>
      <t>ВЛТЭ-4100С</t>
    </r>
    <r>
      <rPr>
        <b/>
        <sz val="10"/>
        <color rgb="FFFF0000"/>
        <rFont val="Book Antiqua"/>
        <family val="1"/>
        <charset val="204"/>
      </rPr>
      <t>*</t>
    </r>
  </si>
  <si>
    <r>
      <t>ВЛТЭ-2100/5100С</t>
    </r>
    <r>
      <rPr>
        <b/>
        <sz val="10"/>
        <color rgb="FFFF0000"/>
        <rFont val="Book Antiqua"/>
        <family val="1"/>
        <charset val="204"/>
      </rPr>
      <t>*</t>
    </r>
  </si>
  <si>
    <r>
      <t>ВЛТЭ-5100С</t>
    </r>
    <r>
      <rPr>
        <b/>
        <sz val="10"/>
        <color rgb="FFFF0000"/>
        <rFont val="Book Antiqua"/>
        <family val="1"/>
        <charset val="204"/>
      </rPr>
      <t>*</t>
    </r>
  </si>
  <si>
    <r>
      <t>ВЛТЭ-6100С</t>
    </r>
    <r>
      <rPr>
        <b/>
        <sz val="10"/>
        <color rgb="FFFF0000"/>
        <rFont val="Book Antiqua"/>
        <family val="1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</si>
</sst>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9"/>
      <color indexed="81"/>
      <name val="Tahoma"/>
      <family val="2"/>
      <charset val="204"/>
    </font>
    <font>
      <sz val="10"/>
      <color indexed="8"/>
      <name val="Book Antiqua"/>
      <family val="1"/>
      <charset val="204"/>
    </font>
    <font>
      <sz val="10"/>
      <name val="Book Antiqua"/>
      <family val="1"/>
      <charset val="204"/>
    </font>
    <font>
      <b/>
      <sz val="10"/>
      <name val="Book Antiqua"/>
      <family val="1"/>
      <charset val="204"/>
    </font>
    <font>
      <b/>
      <sz val="10"/>
      <color indexed="8"/>
      <name val="Book Antiqua"/>
      <family val="1"/>
      <charset val="204"/>
    </font>
    <font>
      <b/>
      <sz val="18"/>
      <color indexed="8"/>
      <name val="Book Antiqua"/>
      <family val="1"/>
      <charset val="204"/>
    </font>
    <font>
      <b/>
      <sz val="14"/>
      <color indexed="9"/>
      <name val="Book Antiqua"/>
      <family val="1"/>
      <charset val="204"/>
    </font>
    <font>
      <b/>
      <sz val="14"/>
      <color indexed="10"/>
      <name val="Book Antiqua"/>
      <family val="1"/>
      <charset val="204"/>
    </font>
    <font>
      <b/>
      <sz val="14"/>
      <color indexed="13"/>
      <name val="Book Antiqua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Book Antiqua"/>
      <family val="1"/>
      <charset val="204"/>
    </font>
    <font>
      <b/>
      <sz val="10"/>
      <color theme="1"/>
      <name val="Book Antiqua"/>
      <family val="1"/>
      <charset val="204"/>
    </font>
    <font>
      <b/>
      <sz val="10"/>
      <color theme="4" tint="-0.249977111117893"/>
      <name val="Book Antiqua"/>
      <family val="1"/>
      <charset val="204"/>
    </font>
    <font>
      <b/>
      <sz val="18"/>
      <color theme="1"/>
      <name val="Book Antiqua"/>
      <family val="1"/>
      <charset val="204"/>
    </font>
    <font>
      <sz val="18"/>
      <color theme="1"/>
      <name val="Book Antiqua"/>
      <family val="1"/>
      <charset val="204"/>
    </font>
    <font>
      <b/>
      <sz val="18"/>
      <color rgb="FFFF0000"/>
      <name val="Book Antiqua"/>
      <family val="1"/>
      <charset val="204"/>
    </font>
    <font>
      <b/>
      <sz val="14"/>
      <color theme="0"/>
      <name val="Book Antiqua"/>
      <family val="1"/>
      <charset val="204"/>
    </font>
    <font>
      <sz val="10"/>
      <color rgb="FFFF0000"/>
      <name val="Book Antiqua"/>
      <family val="1"/>
      <charset val="204"/>
    </font>
    <font>
      <b/>
      <sz val="12"/>
      <color theme="0"/>
      <name val="Book Antiqua"/>
      <family val="1"/>
      <charset val="204"/>
    </font>
    <font>
      <b/>
      <sz val="14"/>
      <color rgb="FFFF0000"/>
      <name val="Book Antiqua"/>
      <family val="1"/>
      <charset val="204"/>
    </font>
    <font>
      <b/>
      <sz val="10"/>
      <color rgb="FFFF0000"/>
      <name val="Book Antiqua"/>
      <family val="1"/>
      <charset val="204"/>
    </font>
    <font>
      <b/>
      <sz val="10"/>
      <color theme="4" tint="-0.499984740745262"/>
      <name val="Book Antiqua"/>
      <family val="1"/>
      <charset val="204"/>
    </font>
    <font>
      <b/>
      <sz val="10"/>
      <color rgb="FF002060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170">
    <xf numFmtId="0" fontId="0" fillId="0" borderId="0" xfId="0"/>
    <xf numFmtId="0" fontId="13" fillId="0" borderId="0" xfId="0" applyFont="1"/>
    <xf numFmtId="3" fontId="13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9" fontId="13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1" applyFont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49" fontId="15" fillId="0" borderId="1" xfId="1" applyNumberFormat="1" applyFont="1" applyFill="1" applyBorder="1" applyAlignment="1" applyProtection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 applyProtection="1">
      <alignment horizontal="center"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4" fillId="0" borderId="4" xfId="3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15" fillId="0" borderId="3" xfId="1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15" fillId="0" borderId="1" xfId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3" fillId="0" borderId="1" xfId="1" applyFont="1" applyBorder="1" applyAlignment="1" applyProtection="1">
      <alignment horizontal="center" vertical="center"/>
    </xf>
    <xf numFmtId="0" fontId="20" fillId="0" borderId="1" xfId="0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9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24" fillId="0" borderId="1" xfId="1" applyNumberFormat="1" applyFont="1" applyBorder="1" applyAlignment="1" applyProtection="1">
      <alignment horizontal="center" vertical="center"/>
    </xf>
    <xf numFmtId="0" fontId="24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4" fillId="0" borderId="0" xfId="1" applyFont="1" applyAlignment="1" applyProtection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49" fontId="20" fillId="0" borderId="1" xfId="3" applyNumberFormat="1" applyFont="1" applyFill="1" applyBorder="1" applyAlignment="1">
      <alignment horizontal="center" vertical="center" wrapText="1"/>
    </xf>
    <xf numFmtId="0" fontId="25" fillId="0" borderId="1" xfId="1" applyFont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3" fillId="0" borderId="1" xfId="1" applyFont="1" applyFill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49" fontId="23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center" vertical="center"/>
    </xf>
    <xf numFmtId="0" fontId="15" fillId="0" borderId="3" xfId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13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4" fillId="0" borderId="1" xfId="1" applyFont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/>
    </xf>
    <xf numFmtId="9" fontId="20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9" fillId="3" borderId="8" xfId="0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2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27.jpeg"/><Relationship Id="rId18" Type="http://schemas.openxmlformats.org/officeDocument/2006/relationships/image" Target="../media/image32.jpeg"/><Relationship Id="rId26" Type="http://schemas.openxmlformats.org/officeDocument/2006/relationships/image" Target="../media/image40.jpeg"/><Relationship Id="rId3" Type="http://schemas.openxmlformats.org/officeDocument/2006/relationships/image" Target="../media/image17.jpeg"/><Relationship Id="rId21" Type="http://schemas.openxmlformats.org/officeDocument/2006/relationships/image" Target="../media/image35.jpeg"/><Relationship Id="rId7" Type="http://schemas.openxmlformats.org/officeDocument/2006/relationships/image" Target="../media/image21.jpeg"/><Relationship Id="rId12" Type="http://schemas.openxmlformats.org/officeDocument/2006/relationships/image" Target="../media/image26.jpeg"/><Relationship Id="rId17" Type="http://schemas.openxmlformats.org/officeDocument/2006/relationships/image" Target="../media/image31.jpeg"/><Relationship Id="rId25" Type="http://schemas.openxmlformats.org/officeDocument/2006/relationships/image" Target="../media/image39.jpeg"/><Relationship Id="rId2" Type="http://schemas.openxmlformats.org/officeDocument/2006/relationships/image" Target="../media/image16.jpeg"/><Relationship Id="rId16" Type="http://schemas.openxmlformats.org/officeDocument/2006/relationships/image" Target="../media/image30.jpeg"/><Relationship Id="rId20" Type="http://schemas.openxmlformats.org/officeDocument/2006/relationships/image" Target="../media/image34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25.jpeg"/><Relationship Id="rId24" Type="http://schemas.openxmlformats.org/officeDocument/2006/relationships/image" Target="../media/image38.jpeg"/><Relationship Id="rId5" Type="http://schemas.openxmlformats.org/officeDocument/2006/relationships/image" Target="../media/image19.jpeg"/><Relationship Id="rId15" Type="http://schemas.openxmlformats.org/officeDocument/2006/relationships/image" Target="../media/image29.jpeg"/><Relationship Id="rId23" Type="http://schemas.openxmlformats.org/officeDocument/2006/relationships/image" Target="../media/image37.jpeg"/><Relationship Id="rId28" Type="http://schemas.openxmlformats.org/officeDocument/2006/relationships/image" Target="../media/image42.jpeg"/><Relationship Id="rId10" Type="http://schemas.openxmlformats.org/officeDocument/2006/relationships/image" Target="../media/image24.jpeg"/><Relationship Id="rId19" Type="http://schemas.openxmlformats.org/officeDocument/2006/relationships/image" Target="../media/image33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8.jpeg"/><Relationship Id="rId22" Type="http://schemas.openxmlformats.org/officeDocument/2006/relationships/image" Target="../media/image36.jpeg"/><Relationship Id="rId27" Type="http://schemas.openxmlformats.org/officeDocument/2006/relationships/image" Target="../media/image4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jpeg"/><Relationship Id="rId13" Type="http://schemas.openxmlformats.org/officeDocument/2006/relationships/image" Target="../media/image55.jpeg"/><Relationship Id="rId18" Type="http://schemas.openxmlformats.org/officeDocument/2006/relationships/image" Target="../media/image60.jpeg"/><Relationship Id="rId3" Type="http://schemas.openxmlformats.org/officeDocument/2006/relationships/image" Target="../media/image45.jpeg"/><Relationship Id="rId21" Type="http://schemas.openxmlformats.org/officeDocument/2006/relationships/image" Target="../media/image63.jpeg"/><Relationship Id="rId7" Type="http://schemas.openxmlformats.org/officeDocument/2006/relationships/image" Target="../media/image49.jpeg"/><Relationship Id="rId12" Type="http://schemas.openxmlformats.org/officeDocument/2006/relationships/image" Target="../media/image54.jpeg"/><Relationship Id="rId17" Type="http://schemas.openxmlformats.org/officeDocument/2006/relationships/image" Target="../media/image59.jpeg"/><Relationship Id="rId2" Type="http://schemas.openxmlformats.org/officeDocument/2006/relationships/image" Target="../media/image44.jpeg"/><Relationship Id="rId16" Type="http://schemas.openxmlformats.org/officeDocument/2006/relationships/image" Target="../media/image58.jpeg"/><Relationship Id="rId20" Type="http://schemas.openxmlformats.org/officeDocument/2006/relationships/image" Target="../media/image62.jpeg"/><Relationship Id="rId1" Type="http://schemas.openxmlformats.org/officeDocument/2006/relationships/image" Target="../media/image43.jpeg"/><Relationship Id="rId6" Type="http://schemas.openxmlformats.org/officeDocument/2006/relationships/image" Target="../media/image48.jpeg"/><Relationship Id="rId11" Type="http://schemas.openxmlformats.org/officeDocument/2006/relationships/image" Target="../media/image53.jpeg"/><Relationship Id="rId24" Type="http://schemas.openxmlformats.org/officeDocument/2006/relationships/image" Target="../media/image66.jpeg"/><Relationship Id="rId5" Type="http://schemas.openxmlformats.org/officeDocument/2006/relationships/image" Target="../media/image47.jpeg"/><Relationship Id="rId15" Type="http://schemas.openxmlformats.org/officeDocument/2006/relationships/image" Target="../media/image57.jpeg"/><Relationship Id="rId23" Type="http://schemas.openxmlformats.org/officeDocument/2006/relationships/image" Target="../media/image65.jpeg"/><Relationship Id="rId10" Type="http://schemas.openxmlformats.org/officeDocument/2006/relationships/image" Target="../media/image52.jpeg"/><Relationship Id="rId19" Type="http://schemas.openxmlformats.org/officeDocument/2006/relationships/image" Target="../media/image61.jpeg"/><Relationship Id="rId4" Type="http://schemas.openxmlformats.org/officeDocument/2006/relationships/image" Target="../media/image46.jpeg"/><Relationship Id="rId9" Type="http://schemas.openxmlformats.org/officeDocument/2006/relationships/image" Target="../media/image51.jpeg"/><Relationship Id="rId14" Type="http://schemas.openxmlformats.org/officeDocument/2006/relationships/image" Target="../media/image56.jpeg"/><Relationship Id="rId22" Type="http://schemas.openxmlformats.org/officeDocument/2006/relationships/image" Target="../media/image64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4.jpeg"/><Relationship Id="rId13" Type="http://schemas.openxmlformats.org/officeDocument/2006/relationships/image" Target="../media/image79.jpeg"/><Relationship Id="rId18" Type="http://schemas.openxmlformats.org/officeDocument/2006/relationships/image" Target="../media/image84.jpeg"/><Relationship Id="rId26" Type="http://schemas.openxmlformats.org/officeDocument/2006/relationships/image" Target="../media/image92.jpeg"/><Relationship Id="rId39" Type="http://schemas.openxmlformats.org/officeDocument/2006/relationships/image" Target="../media/image105.jpeg"/><Relationship Id="rId3" Type="http://schemas.openxmlformats.org/officeDocument/2006/relationships/image" Target="../media/image69.jpeg"/><Relationship Id="rId21" Type="http://schemas.openxmlformats.org/officeDocument/2006/relationships/image" Target="../media/image87.jpeg"/><Relationship Id="rId34" Type="http://schemas.openxmlformats.org/officeDocument/2006/relationships/image" Target="../media/image100.jpeg"/><Relationship Id="rId42" Type="http://schemas.openxmlformats.org/officeDocument/2006/relationships/image" Target="../media/image108.jpeg"/><Relationship Id="rId7" Type="http://schemas.openxmlformats.org/officeDocument/2006/relationships/image" Target="../media/image73.jpeg"/><Relationship Id="rId12" Type="http://schemas.openxmlformats.org/officeDocument/2006/relationships/image" Target="../media/image78.jpeg"/><Relationship Id="rId17" Type="http://schemas.openxmlformats.org/officeDocument/2006/relationships/image" Target="../media/image83.jpeg"/><Relationship Id="rId25" Type="http://schemas.openxmlformats.org/officeDocument/2006/relationships/image" Target="../media/image91.jpeg"/><Relationship Id="rId33" Type="http://schemas.openxmlformats.org/officeDocument/2006/relationships/image" Target="../media/image99.jpeg"/><Relationship Id="rId38" Type="http://schemas.openxmlformats.org/officeDocument/2006/relationships/image" Target="../media/image104.jpeg"/><Relationship Id="rId2" Type="http://schemas.openxmlformats.org/officeDocument/2006/relationships/image" Target="../media/image68.jpeg"/><Relationship Id="rId16" Type="http://schemas.openxmlformats.org/officeDocument/2006/relationships/image" Target="../media/image82.jpeg"/><Relationship Id="rId20" Type="http://schemas.openxmlformats.org/officeDocument/2006/relationships/image" Target="../media/image86.jpeg"/><Relationship Id="rId29" Type="http://schemas.openxmlformats.org/officeDocument/2006/relationships/image" Target="../media/image95.jpeg"/><Relationship Id="rId41" Type="http://schemas.openxmlformats.org/officeDocument/2006/relationships/image" Target="../media/image107.jpeg"/><Relationship Id="rId1" Type="http://schemas.openxmlformats.org/officeDocument/2006/relationships/image" Target="../media/image67.jpeg"/><Relationship Id="rId6" Type="http://schemas.openxmlformats.org/officeDocument/2006/relationships/image" Target="../media/image72.jpeg"/><Relationship Id="rId11" Type="http://schemas.openxmlformats.org/officeDocument/2006/relationships/image" Target="../media/image77.jpeg"/><Relationship Id="rId24" Type="http://schemas.openxmlformats.org/officeDocument/2006/relationships/image" Target="../media/image90.jpeg"/><Relationship Id="rId32" Type="http://schemas.openxmlformats.org/officeDocument/2006/relationships/image" Target="../media/image98.jpeg"/><Relationship Id="rId37" Type="http://schemas.openxmlformats.org/officeDocument/2006/relationships/image" Target="../media/image103.jpeg"/><Relationship Id="rId40" Type="http://schemas.openxmlformats.org/officeDocument/2006/relationships/image" Target="../media/image106.jpeg"/><Relationship Id="rId45" Type="http://schemas.openxmlformats.org/officeDocument/2006/relationships/image" Target="../media/image111.jpeg"/><Relationship Id="rId5" Type="http://schemas.openxmlformats.org/officeDocument/2006/relationships/image" Target="../media/image71.jpeg"/><Relationship Id="rId15" Type="http://schemas.openxmlformats.org/officeDocument/2006/relationships/image" Target="../media/image81.jpeg"/><Relationship Id="rId23" Type="http://schemas.openxmlformats.org/officeDocument/2006/relationships/image" Target="../media/image89.jpeg"/><Relationship Id="rId28" Type="http://schemas.openxmlformats.org/officeDocument/2006/relationships/image" Target="../media/image94.jpeg"/><Relationship Id="rId36" Type="http://schemas.openxmlformats.org/officeDocument/2006/relationships/image" Target="../media/image102.jpeg"/><Relationship Id="rId10" Type="http://schemas.openxmlformats.org/officeDocument/2006/relationships/image" Target="../media/image76.jpeg"/><Relationship Id="rId19" Type="http://schemas.openxmlformats.org/officeDocument/2006/relationships/image" Target="../media/image85.jpeg"/><Relationship Id="rId31" Type="http://schemas.openxmlformats.org/officeDocument/2006/relationships/image" Target="../media/image97.jpeg"/><Relationship Id="rId44" Type="http://schemas.openxmlformats.org/officeDocument/2006/relationships/image" Target="../media/image110.jpeg"/><Relationship Id="rId4" Type="http://schemas.openxmlformats.org/officeDocument/2006/relationships/image" Target="../media/image70.jpeg"/><Relationship Id="rId9" Type="http://schemas.openxmlformats.org/officeDocument/2006/relationships/image" Target="../media/image75.jpeg"/><Relationship Id="rId14" Type="http://schemas.openxmlformats.org/officeDocument/2006/relationships/image" Target="../media/image80.jpeg"/><Relationship Id="rId22" Type="http://schemas.openxmlformats.org/officeDocument/2006/relationships/image" Target="../media/image88.jpeg"/><Relationship Id="rId27" Type="http://schemas.openxmlformats.org/officeDocument/2006/relationships/image" Target="../media/image93.jpeg"/><Relationship Id="rId30" Type="http://schemas.openxmlformats.org/officeDocument/2006/relationships/image" Target="../media/image96.jpeg"/><Relationship Id="rId35" Type="http://schemas.openxmlformats.org/officeDocument/2006/relationships/image" Target="../media/image101.jpeg"/><Relationship Id="rId43" Type="http://schemas.openxmlformats.org/officeDocument/2006/relationships/image" Target="../media/image109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3.jpeg"/><Relationship Id="rId1" Type="http://schemas.openxmlformats.org/officeDocument/2006/relationships/image" Target="../media/image11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6.jpeg"/><Relationship Id="rId2" Type="http://schemas.openxmlformats.org/officeDocument/2006/relationships/image" Target="../media/image115.jpeg"/><Relationship Id="rId1" Type="http://schemas.openxmlformats.org/officeDocument/2006/relationships/image" Target="../media/image114.jpeg"/><Relationship Id="rId5" Type="http://schemas.openxmlformats.org/officeDocument/2006/relationships/image" Target="../media/image118.jpeg"/><Relationship Id="rId4" Type="http://schemas.openxmlformats.org/officeDocument/2006/relationships/image" Target="../media/image117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jpeg"/><Relationship Id="rId1" Type="http://schemas.openxmlformats.org/officeDocument/2006/relationships/image" Target="../media/image119.jpeg"/><Relationship Id="rId5" Type="http://schemas.openxmlformats.org/officeDocument/2006/relationships/image" Target="../media/image123.jpeg"/><Relationship Id="rId4" Type="http://schemas.openxmlformats.org/officeDocument/2006/relationships/image" Target="../media/image12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1.jpeg"/><Relationship Id="rId13" Type="http://schemas.openxmlformats.org/officeDocument/2006/relationships/image" Target="../media/image136.jpeg"/><Relationship Id="rId18" Type="http://schemas.openxmlformats.org/officeDocument/2006/relationships/image" Target="../media/image141.png"/><Relationship Id="rId26" Type="http://schemas.openxmlformats.org/officeDocument/2006/relationships/image" Target="../media/image149.jpeg"/><Relationship Id="rId3" Type="http://schemas.openxmlformats.org/officeDocument/2006/relationships/image" Target="../media/image126.jpeg"/><Relationship Id="rId21" Type="http://schemas.openxmlformats.org/officeDocument/2006/relationships/image" Target="../media/image144.jpeg"/><Relationship Id="rId34" Type="http://schemas.openxmlformats.org/officeDocument/2006/relationships/image" Target="../media/image157.jpeg"/><Relationship Id="rId7" Type="http://schemas.openxmlformats.org/officeDocument/2006/relationships/image" Target="../media/image130.jpeg"/><Relationship Id="rId12" Type="http://schemas.openxmlformats.org/officeDocument/2006/relationships/image" Target="../media/image135.jpeg"/><Relationship Id="rId17" Type="http://schemas.openxmlformats.org/officeDocument/2006/relationships/image" Target="../media/image140.jpeg"/><Relationship Id="rId25" Type="http://schemas.openxmlformats.org/officeDocument/2006/relationships/image" Target="../media/image148.jpeg"/><Relationship Id="rId33" Type="http://schemas.openxmlformats.org/officeDocument/2006/relationships/image" Target="../media/image156.jpeg"/><Relationship Id="rId2" Type="http://schemas.openxmlformats.org/officeDocument/2006/relationships/image" Target="../media/image125.jpeg"/><Relationship Id="rId16" Type="http://schemas.openxmlformats.org/officeDocument/2006/relationships/image" Target="../media/image139.jpeg"/><Relationship Id="rId20" Type="http://schemas.openxmlformats.org/officeDocument/2006/relationships/image" Target="../media/image143.jpeg"/><Relationship Id="rId29" Type="http://schemas.openxmlformats.org/officeDocument/2006/relationships/image" Target="../media/image152.jpeg"/><Relationship Id="rId1" Type="http://schemas.openxmlformats.org/officeDocument/2006/relationships/image" Target="../media/image124.jpeg"/><Relationship Id="rId6" Type="http://schemas.openxmlformats.org/officeDocument/2006/relationships/image" Target="../media/image129.jpeg"/><Relationship Id="rId11" Type="http://schemas.openxmlformats.org/officeDocument/2006/relationships/image" Target="../media/image134.jpeg"/><Relationship Id="rId24" Type="http://schemas.openxmlformats.org/officeDocument/2006/relationships/image" Target="../media/image147.jpeg"/><Relationship Id="rId32" Type="http://schemas.openxmlformats.org/officeDocument/2006/relationships/image" Target="../media/image155.jpeg"/><Relationship Id="rId37" Type="http://schemas.openxmlformats.org/officeDocument/2006/relationships/image" Target="../media/image160.jpeg"/><Relationship Id="rId5" Type="http://schemas.openxmlformats.org/officeDocument/2006/relationships/image" Target="../media/image128.jpeg"/><Relationship Id="rId15" Type="http://schemas.openxmlformats.org/officeDocument/2006/relationships/image" Target="../media/image138.jpeg"/><Relationship Id="rId23" Type="http://schemas.openxmlformats.org/officeDocument/2006/relationships/image" Target="../media/image146.png"/><Relationship Id="rId28" Type="http://schemas.openxmlformats.org/officeDocument/2006/relationships/image" Target="../media/image151.jpeg"/><Relationship Id="rId36" Type="http://schemas.openxmlformats.org/officeDocument/2006/relationships/image" Target="../media/image159.jpeg"/><Relationship Id="rId10" Type="http://schemas.openxmlformats.org/officeDocument/2006/relationships/image" Target="../media/image133.jpeg"/><Relationship Id="rId19" Type="http://schemas.openxmlformats.org/officeDocument/2006/relationships/image" Target="../media/image142.png"/><Relationship Id="rId31" Type="http://schemas.openxmlformats.org/officeDocument/2006/relationships/image" Target="../media/image154.jpeg"/><Relationship Id="rId4" Type="http://schemas.openxmlformats.org/officeDocument/2006/relationships/image" Target="../media/image127.jpeg"/><Relationship Id="rId9" Type="http://schemas.openxmlformats.org/officeDocument/2006/relationships/image" Target="../media/image132.jpeg"/><Relationship Id="rId14" Type="http://schemas.openxmlformats.org/officeDocument/2006/relationships/image" Target="../media/image137.jpeg"/><Relationship Id="rId22" Type="http://schemas.openxmlformats.org/officeDocument/2006/relationships/image" Target="../media/image145.png"/><Relationship Id="rId27" Type="http://schemas.openxmlformats.org/officeDocument/2006/relationships/image" Target="../media/image150.jpeg"/><Relationship Id="rId30" Type="http://schemas.openxmlformats.org/officeDocument/2006/relationships/image" Target="../media/image153.jpeg"/><Relationship Id="rId35" Type="http://schemas.openxmlformats.org/officeDocument/2006/relationships/image" Target="../media/image158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8.jpeg"/><Relationship Id="rId3" Type="http://schemas.openxmlformats.org/officeDocument/2006/relationships/image" Target="../media/image163.jpeg"/><Relationship Id="rId7" Type="http://schemas.openxmlformats.org/officeDocument/2006/relationships/image" Target="../media/image167.jpeg"/><Relationship Id="rId12" Type="http://schemas.openxmlformats.org/officeDocument/2006/relationships/image" Target="../media/image172.jpeg"/><Relationship Id="rId2" Type="http://schemas.openxmlformats.org/officeDocument/2006/relationships/image" Target="../media/image162.jpeg"/><Relationship Id="rId1" Type="http://schemas.openxmlformats.org/officeDocument/2006/relationships/image" Target="../media/image161.jpeg"/><Relationship Id="rId6" Type="http://schemas.openxmlformats.org/officeDocument/2006/relationships/image" Target="../media/image166.jpeg"/><Relationship Id="rId11" Type="http://schemas.openxmlformats.org/officeDocument/2006/relationships/image" Target="../media/image171.jpeg"/><Relationship Id="rId5" Type="http://schemas.openxmlformats.org/officeDocument/2006/relationships/image" Target="../media/image165.jpeg"/><Relationship Id="rId10" Type="http://schemas.openxmlformats.org/officeDocument/2006/relationships/image" Target="../media/image170.jpeg"/><Relationship Id="rId4" Type="http://schemas.openxmlformats.org/officeDocument/2006/relationships/image" Target="../media/image164.jpeg"/><Relationship Id="rId9" Type="http://schemas.openxmlformats.org/officeDocument/2006/relationships/image" Target="../media/image169.jpe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5.jpeg"/><Relationship Id="rId18" Type="http://schemas.openxmlformats.org/officeDocument/2006/relationships/image" Target="../media/image190.jpeg"/><Relationship Id="rId26" Type="http://schemas.openxmlformats.org/officeDocument/2006/relationships/image" Target="../media/image198.jpeg"/><Relationship Id="rId39" Type="http://schemas.openxmlformats.org/officeDocument/2006/relationships/image" Target="../media/image211.jpeg"/><Relationship Id="rId3" Type="http://schemas.openxmlformats.org/officeDocument/2006/relationships/image" Target="../media/image175.jpeg"/><Relationship Id="rId21" Type="http://schemas.openxmlformats.org/officeDocument/2006/relationships/image" Target="../media/image193.jpeg"/><Relationship Id="rId34" Type="http://schemas.openxmlformats.org/officeDocument/2006/relationships/image" Target="../media/image206.jpeg"/><Relationship Id="rId42" Type="http://schemas.openxmlformats.org/officeDocument/2006/relationships/image" Target="../media/image214.jpeg"/><Relationship Id="rId47" Type="http://schemas.openxmlformats.org/officeDocument/2006/relationships/image" Target="../media/image219.jpeg"/><Relationship Id="rId50" Type="http://schemas.openxmlformats.org/officeDocument/2006/relationships/image" Target="../media/image222.jpeg"/><Relationship Id="rId7" Type="http://schemas.openxmlformats.org/officeDocument/2006/relationships/image" Target="../media/image179.jpeg"/><Relationship Id="rId12" Type="http://schemas.openxmlformats.org/officeDocument/2006/relationships/image" Target="../media/image184.jpeg"/><Relationship Id="rId17" Type="http://schemas.openxmlformats.org/officeDocument/2006/relationships/image" Target="../media/image189.jpeg"/><Relationship Id="rId25" Type="http://schemas.openxmlformats.org/officeDocument/2006/relationships/image" Target="../media/image197.jpeg"/><Relationship Id="rId33" Type="http://schemas.openxmlformats.org/officeDocument/2006/relationships/image" Target="../media/image205.jpeg"/><Relationship Id="rId38" Type="http://schemas.openxmlformats.org/officeDocument/2006/relationships/image" Target="../media/image210.jpeg"/><Relationship Id="rId46" Type="http://schemas.openxmlformats.org/officeDocument/2006/relationships/image" Target="../media/image218.jpeg"/><Relationship Id="rId2" Type="http://schemas.openxmlformats.org/officeDocument/2006/relationships/image" Target="../media/image174.jpeg"/><Relationship Id="rId16" Type="http://schemas.openxmlformats.org/officeDocument/2006/relationships/image" Target="../media/image188.jpeg"/><Relationship Id="rId20" Type="http://schemas.openxmlformats.org/officeDocument/2006/relationships/image" Target="../media/image192.jpeg"/><Relationship Id="rId29" Type="http://schemas.openxmlformats.org/officeDocument/2006/relationships/image" Target="../media/image201.jpeg"/><Relationship Id="rId41" Type="http://schemas.openxmlformats.org/officeDocument/2006/relationships/image" Target="../media/image213.jpeg"/><Relationship Id="rId1" Type="http://schemas.openxmlformats.org/officeDocument/2006/relationships/image" Target="../media/image173.jpeg"/><Relationship Id="rId6" Type="http://schemas.openxmlformats.org/officeDocument/2006/relationships/image" Target="../media/image178.jpeg"/><Relationship Id="rId11" Type="http://schemas.openxmlformats.org/officeDocument/2006/relationships/image" Target="../media/image183.jpeg"/><Relationship Id="rId24" Type="http://schemas.openxmlformats.org/officeDocument/2006/relationships/image" Target="../media/image196.jpeg"/><Relationship Id="rId32" Type="http://schemas.openxmlformats.org/officeDocument/2006/relationships/image" Target="../media/image204.jpeg"/><Relationship Id="rId37" Type="http://schemas.openxmlformats.org/officeDocument/2006/relationships/image" Target="../media/image209.jpeg"/><Relationship Id="rId40" Type="http://schemas.openxmlformats.org/officeDocument/2006/relationships/image" Target="../media/image212.jpeg"/><Relationship Id="rId45" Type="http://schemas.openxmlformats.org/officeDocument/2006/relationships/image" Target="../media/image217.jpeg"/><Relationship Id="rId53" Type="http://schemas.openxmlformats.org/officeDocument/2006/relationships/image" Target="../media/image225.jpeg"/><Relationship Id="rId5" Type="http://schemas.openxmlformats.org/officeDocument/2006/relationships/image" Target="../media/image177.jpeg"/><Relationship Id="rId15" Type="http://schemas.openxmlformats.org/officeDocument/2006/relationships/image" Target="../media/image187.jpeg"/><Relationship Id="rId23" Type="http://schemas.openxmlformats.org/officeDocument/2006/relationships/image" Target="../media/image195.jpeg"/><Relationship Id="rId28" Type="http://schemas.openxmlformats.org/officeDocument/2006/relationships/image" Target="../media/image200.jpeg"/><Relationship Id="rId36" Type="http://schemas.openxmlformats.org/officeDocument/2006/relationships/image" Target="../media/image208.jpeg"/><Relationship Id="rId49" Type="http://schemas.openxmlformats.org/officeDocument/2006/relationships/image" Target="../media/image221.jpeg"/><Relationship Id="rId10" Type="http://schemas.openxmlformats.org/officeDocument/2006/relationships/image" Target="../media/image182.jpeg"/><Relationship Id="rId19" Type="http://schemas.openxmlformats.org/officeDocument/2006/relationships/image" Target="../media/image191.jpeg"/><Relationship Id="rId31" Type="http://schemas.openxmlformats.org/officeDocument/2006/relationships/image" Target="../media/image203.jpeg"/><Relationship Id="rId44" Type="http://schemas.openxmlformats.org/officeDocument/2006/relationships/image" Target="../media/image216.jpeg"/><Relationship Id="rId52" Type="http://schemas.openxmlformats.org/officeDocument/2006/relationships/image" Target="../media/image224.jpeg"/><Relationship Id="rId4" Type="http://schemas.openxmlformats.org/officeDocument/2006/relationships/image" Target="../media/image176.jpeg"/><Relationship Id="rId9" Type="http://schemas.openxmlformats.org/officeDocument/2006/relationships/image" Target="../media/image181.jpeg"/><Relationship Id="rId14" Type="http://schemas.openxmlformats.org/officeDocument/2006/relationships/image" Target="../media/image186.jpeg"/><Relationship Id="rId22" Type="http://schemas.openxmlformats.org/officeDocument/2006/relationships/image" Target="../media/image194.jpeg"/><Relationship Id="rId27" Type="http://schemas.openxmlformats.org/officeDocument/2006/relationships/image" Target="../media/image199.jpeg"/><Relationship Id="rId30" Type="http://schemas.openxmlformats.org/officeDocument/2006/relationships/image" Target="../media/image202.jpeg"/><Relationship Id="rId35" Type="http://schemas.openxmlformats.org/officeDocument/2006/relationships/image" Target="../media/image207.jpeg"/><Relationship Id="rId43" Type="http://schemas.openxmlformats.org/officeDocument/2006/relationships/image" Target="../media/image215.jpeg"/><Relationship Id="rId48" Type="http://schemas.openxmlformats.org/officeDocument/2006/relationships/image" Target="../media/image220.jpeg"/><Relationship Id="rId8" Type="http://schemas.openxmlformats.org/officeDocument/2006/relationships/image" Target="../media/image180.jpeg"/><Relationship Id="rId51" Type="http://schemas.openxmlformats.org/officeDocument/2006/relationships/image" Target="../media/image223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3.jpeg"/><Relationship Id="rId13" Type="http://schemas.openxmlformats.org/officeDocument/2006/relationships/image" Target="../media/image238.jpeg"/><Relationship Id="rId3" Type="http://schemas.openxmlformats.org/officeDocument/2006/relationships/image" Target="../media/image228.jpeg"/><Relationship Id="rId7" Type="http://schemas.openxmlformats.org/officeDocument/2006/relationships/image" Target="../media/image232.jpeg"/><Relationship Id="rId12" Type="http://schemas.openxmlformats.org/officeDocument/2006/relationships/image" Target="../media/image237.jpeg"/><Relationship Id="rId2" Type="http://schemas.openxmlformats.org/officeDocument/2006/relationships/image" Target="../media/image227.jpeg"/><Relationship Id="rId1" Type="http://schemas.openxmlformats.org/officeDocument/2006/relationships/image" Target="../media/image226.jpeg"/><Relationship Id="rId6" Type="http://schemas.openxmlformats.org/officeDocument/2006/relationships/image" Target="../media/image231.jpeg"/><Relationship Id="rId11" Type="http://schemas.openxmlformats.org/officeDocument/2006/relationships/image" Target="../media/image236.jpeg"/><Relationship Id="rId5" Type="http://schemas.openxmlformats.org/officeDocument/2006/relationships/image" Target="../media/image230.jpeg"/><Relationship Id="rId15" Type="http://schemas.openxmlformats.org/officeDocument/2006/relationships/image" Target="../media/image240.jpeg"/><Relationship Id="rId10" Type="http://schemas.openxmlformats.org/officeDocument/2006/relationships/image" Target="../media/image235.jpeg"/><Relationship Id="rId4" Type="http://schemas.openxmlformats.org/officeDocument/2006/relationships/image" Target="../media/image229.jpeg"/><Relationship Id="rId9" Type="http://schemas.openxmlformats.org/officeDocument/2006/relationships/image" Target="../media/image234.jpeg"/><Relationship Id="rId14" Type="http://schemas.openxmlformats.org/officeDocument/2006/relationships/image" Target="../media/image239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3.jpeg"/><Relationship Id="rId2" Type="http://schemas.openxmlformats.org/officeDocument/2006/relationships/image" Target="../media/image242.jpeg"/><Relationship Id="rId1" Type="http://schemas.openxmlformats.org/officeDocument/2006/relationships/image" Target="../media/image241.jpeg"/><Relationship Id="rId4" Type="http://schemas.openxmlformats.org/officeDocument/2006/relationships/image" Target="../media/image24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7.jpeg"/><Relationship Id="rId2" Type="http://schemas.openxmlformats.org/officeDocument/2006/relationships/image" Target="../media/image246.jpeg"/><Relationship Id="rId1" Type="http://schemas.openxmlformats.org/officeDocument/2006/relationships/image" Target="../media/image245.jpeg"/><Relationship Id="rId5" Type="http://schemas.openxmlformats.org/officeDocument/2006/relationships/image" Target="../media/image249.jpeg"/><Relationship Id="rId4" Type="http://schemas.openxmlformats.org/officeDocument/2006/relationships/image" Target="../media/image248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1.jpeg"/><Relationship Id="rId1" Type="http://schemas.openxmlformats.org/officeDocument/2006/relationships/image" Target="../media/image25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38100</xdr:rowOff>
    </xdr:from>
    <xdr:to>
      <xdr:col>0</xdr:col>
      <xdr:colOff>1495425</xdr:colOff>
      <xdr:row>4</xdr:row>
      <xdr:rowOff>457200</xdr:rowOff>
    </xdr:to>
    <xdr:pic>
      <xdr:nvPicPr>
        <xdr:cNvPr id="1455232" name="Рисунок 6" descr="C:\Users\Денис\Desktop\Картинки для сайта\ДЭМКОМ\DA_microan_sm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39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</xdr:row>
      <xdr:rowOff>38100</xdr:rowOff>
    </xdr:from>
    <xdr:to>
      <xdr:col>0</xdr:col>
      <xdr:colOff>1495425</xdr:colOff>
      <xdr:row>15</xdr:row>
      <xdr:rowOff>323850</xdr:rowOff>
    </xdr:to>
    <xdr:pic>
      <xdr:nvPicPr>
        <xdr:cNvPr id="1455233" name="Рисунок 8" descr="C:\Users\Денис\Desktop\Картинки для сайта\ДЭМКОМ\DA_an_sm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695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23</xdr:row>
      <xdr:rowOff>28575</xdr:rowOff>
    </xdr:from>
    <xdr:to>
      <xdr:col>0</xdr:col>
      <xdr:colOff>1504950</xdr:colOff>
      <xdr:row>26</xdr:row>
      <xdr:rowOff>314325</xdr:rowOff>
    </xdr:to>
    <xdr:pic>
      <xdr:nvPicPr>
        <xdr:cNvPr id="1455234" name="Рисунок 11" descr="C:\Users\Денис\Desktop\Картинки для сайта\ДЭМКОМ\DA_1mg_sm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4677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</xdr:row>
      <xdr:rowOff>76200</xdr:rowOff>
    </xdr:from>
    <xdr:to>
      <xdr:col>0</xdr:col>
      <xdr:colOff>1495425</xdr:colOff>
      <xdr:row>29</xdr:row>
      <xdr:rowOff>361950</xdr:rowOff>
    </xdr:to>
    <xdr:pic>
      <xdr:nvPicPr>
        <xdr:cNvPr id="1455235" name="Рисунок 12" descr="C:\Users\Денис\Desktop\Картинки для сайта\ДЭМКОМ\DA_2103_sm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6583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31</xdr:row>
      <xdr:rowOff>38100</xdr:rowOff>
    </xdr:from>
    <xdr:to>
      <xdr:col>0</xdr:col>
      <xdr:colOff>1495425</xdr:colOff>
      <xdr:row>34</xdr:row>
      <xdr:rowOff>323850</xdr:rowOff>
    </xdr:to>
    <xdr:pic>
      <xdr:nvPicPr>
        <xdr:cNvPr id="1455236" name="Рисунок 13" descr="C:\Users\Денис\Desktop\Картинки для сайта\ДЭМКОМ\DA_10mg_sm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525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381000</xdr:rowOff>
    </xdr:from>
    <xdr:to>
      <xdr:col>0</xdr:col>
      <xdr:colOff>1495425</xdr:colOff>
      <xdr:row>6</xdr:row>
      <xdr:rowOff>285750</xdr:rowOff>
    </xdr:to>
    <xdr:pic>
      <xdr:nvPicPr>
        <xdr:cNvPr id="1419076" name="Рисунок 5" descr="C:\Users\Денис\Desktop\Картинки для сайта\ДЭМКОМ\DL3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66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</xdr:row>
      <xdr:rowOff>133350</xdr:rowOff>
    </xdr:from>
    <xdr:to>
      <xdr:col>0</xdr:col>
      <xdr:colOff>1495425</xdr:colOff>
      <xdr:row>12</xdr:row>
      <xdr:rowOff>38100</xdr:rowOff>
    </xdr:to>
    <xdr:pic>
      <xdr:nvPicPr>
        <xdr:cNvPr id="1419077" name="Рисунок 6" descr="C:\Users\Денис\Desktop\Картинки для сайта\ДЭМКОМ\DL_130s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51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</xdr:row>
      <xdr:rowOff>352425</xdr:rowOff>
    </xdr:from>
    <xdr:to>
      <xdr:col>0</xdr:col>
      <xdr:colOff>1495425</xdr:colOff>
      <xdr:row>16</xdr:row>
      <xdr:rowOff>257175</xdr:rowOff>
    </xdr:to>
    <xdr:pic>
      <xdr:nvPicPr>
        <xdr:cNvPr id="1419078" name="Рисунок 7" descr="C:\Users\Денис\Desktop\Картинки для сайта\ДЭМКОМ\DL_160s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</xdr:row>
      <xdr:rowOff>57150</xdr:rowOff>
    </xdr:from>
    <xdr:to>
      <xdr:col>0</xdr:col>
      <xdr:colOff>1495425</xdr:colOff>
      <xdr:row>20</xdr:row>
      <xdr:rowOff>342900</xdr:rowOff>
    </xdr:to>
    <xdr:pic>
      <xdr:nvPicPr>
        <xdr:cNvPr id="1419079" name="Рисунок 8" descr="C:\Users\Денис\Desktop\Картинки для сайта\ДЭМКОМ\DL_200-200s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57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22</xdr:row>
      <xdr:rowOff>38100</xdr:rowOff>
    </xdr:from>
    <xdr:to>
      <xdr:col>0</xdr:col>
      <xdr:colOff>1362075</xdr:colOff>
      <xdr:row>22</xdr:row>
      <xdr:rowOff>1228725</xdr:rowOff>
    </xdr:to>
    <xdr:pic>
      <xdr:nvPicPr>
        <xdr:cNvPr id="1419080" name="Рисунок 5" descr="C:\Users\Денис\Desktop\vind.jpg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10575"/>
          <a:ext cx="11811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28575</xdr:rowOff>
    </xdr:from>
    <xdr:to>
      <xdr:col>0</xdr:col>
      <xdr:colOff>1495425</xdr:colOff>
      <xdr:row>7</xdr:row>
      <xdr:rowOff>219075</xdr:rowOff>
    </xdr:to>
    <xdr:pic>
      <xdr:nvPicPr>
        <xdr:cNvPr id="1435088" name="Рисунок 2" descr="CY-224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14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</xdr:row>
      <xdr:rowOff>133350</xdr:rowOff>
    </xdr:from>
    <xdr:to>
      <xdr:col>0</xdr:col>
      <xdr:colOff>1495425</xdr:colOff>
      <xdr:row>23</xdr:row>
      <xdr:rowOff>76200</xdr:rowOff>
    </xdr:to>
    <xdr:pic>
      <xdr:nvPicPr>
        <xdr:cNvPr id="1435089" name="Рисунок 4" descr="CY-12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1244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28</xdr:row>
      <xdr:rowOff>19050</xdr:rowOff>
    </xdr:from>
    <xdr:to>
      <xdr:col>0</xdr:col>
      <xdr:colOff>1485900</xdr:colOff>
      <xdr:row>33</xdr:row>
      <xdr:rowOff>209550</xdr:rowOff>
    </xdr:to>
    <xdr:pic>
      <xdr:nvPicPr>
        <xdr:cNvPr id="1435090" name="Рисунок 13" descr="C:\Users\Denis\Desktop\Картинки для сайта\Citizen\сайт\CY2s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7343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36</xdr:row>
      <xdr:rowOff>85725</xdr:rowOff>
    </xdr:from>
    <xdr:to>
      <xdr:col>0</xdr:col>
      <xdr:colOff>1495425</xdr:colOff>
      <xdr:row>40</xdr:row>
      <xdr:rowOff>247650</xdr:rowOff>
    </xdr:to>
    <xdr:pic>
      <xdr:nvPicPr>
        <xdr:cNvPr id="1435091" name="Рисунок 16" descr="CY-60K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821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82</xdr:row>
      <xdr:rowOff>85725</xdr:rowOff>
    </xdr:from>
    <xdr:to>
      <xdr:col>0</xdr:col>
      <xdr:colOff>1495425</xdr:colOff>
      <xdr:row>87</xdr:row>
      <xdr:rowOff>190500</xdr:rowOff>
    </xdr:to>
    <xdr:pic>
      <xdr:nvPicPr>
        <xdr:cNvPr id="1460308" name="Рисунок 38" descr="PA-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26720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91</xdr:row>
      <xdr:rowOff>133350</xdr:rowOff>
    </xdr:from>
    <xdr:to>
      <xdr:col>0</xdr:col>
      <xdr:colOff>1495425</xdr:colOff>
      <xdr:row>95</xdr:row>
      <xdr:rowOff>295275</xdr:rowOff>
    </xdr:to>
    <xdr:pic>
      <xdr:nvPicPr>
        <xdr:cNvPr id="1460309" name="Рисунок 39" descr="PA-21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0485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96</xdr:row>
      <xdr:rowOff>114300</xdr:rowOff>
    </xdr:from>
    <xdr:to>
      <xdr:col>0</xdr:col>
      <xdr:colOff>1504950</xdr:colOff>
      <xdr:row>100</xdr:row>
      <xdr:rowOff>276225</xdr:rowOff>
    </xdr:to>
    <xdr:pic>
      <xdr:nvPicPr>
        <xdr:cNvPr id="1460310" name="Рисунок 40" descr="PA-51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6010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104</xdr:row>
      <xdr:rowOff>219075</xdr:rowOff>
    </xdr:from>
    <xdr:to>
      <xdr:col>0</xdr:col>
      <xdr:colOff>1495425</xdr:colOff>
      <xdr:row>108</xdr:row>
      <xdr:rowOff>123825</xdr:rowOff>
    </xdr:to>
    <xdr:pic>
      <xdr:nvPicPr>
        <xdr:cNvPr id="1460314" name="Рисунок 15" descr="AX-32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2871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114</xdr:row>
      <xdr:rowOff>171450</xdr:rowOff>
    </xdr:from>
    <xdr:to>
      <xdr:col>0</xdr:col>
      <xdr:colOff>1504950</xdr:colOff>
      <xdr:row>119</xdr:row>
      <xdr:rowOff>219074</xdr:rowOff>
    </xdr:to>
    <xdr:pic>
      <xdr:nvPicPr>
        <xdr:cNvPr id="1460315" name="Рисунок 17" descr="AX-223/E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7066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122</xdr:row>
      <xdr:rowOff>247650</xdr:rowOff>
    </xdr:from>
    <xdr:to>
      <xdr:col>0</xdr:col>
      <xdr:colOff>1495425</xdr:colOff>
      <xdr:row>128</xdr:row>
      <xdr:rowOff>19050</xdr:rowOff>
    </xdr:to>
    <xdr:pic>
      <xdr:nvPicPr>
        <xdr:cNvPr id="1460316" name="Рисунок 18" descr="AX-622/E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926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</xdr:row>
      <xdr:rowOff>209550</xdr:rowOff>
    </xdr:from>
    <xdr:to>
      <xdr:col>0</xdr:col>
      <xdr:colOff>1495425</xdr:colOff>
      <xdr:row>6</xdr:row>
      <xdr:rowOff>114300</xdr:rowOff>
    </xdr:to>
    <xdr:pic>
      <xdr:nvPicPr>
        <xdr:cNvPr id="1460317" name="Рисунок 15" descr="C:\Users\Denis\Desktop\Картинки для сайта\Ohaus\EX_micro\EX_micros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525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146</xdr:row>
      <xdr:rowOff>28575</xdr:rowOff>
    </xdr:from>
    <xdr:to>
      <xdr:col>0</xdr:col>
      <xdr:colOff>1504950</xdr:colOff>
      <xdr:row>150</xdr:row>
      <xdr:rowOff>190500</xdr:rowOff>
    </xdr:to>
    <xdr:pic>
      <xdr:nvPicPr>
        <xdr:cNvPr id="1460318" name="Рисунок 17" descr="NV-21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37375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149</xdr:row>
      <xdr:rowOff>247650</xdr:rowOff>
    </xdr:from>
    <xdr:to>
      <xdr:col>0</xdr:col>
      <xdr:colOff>1495425</xdr:colOff>
      <xdr:row>154</xdr:row>
      <xdr:rowOff>85725</xdr:rowOff>
    </xdr:to>
    <xdr:pic>
      <xdr:nvPicPr>
        <xdr:cNvPr id="1460319" name="Рисунок 18" descr="NVL-51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899600"/>
          <a:ext cx="1428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153</xdr:row>
      <xdr:rowOff>123825</xdr:rowOff>
    </xdr:from>
    <xdr:to>
      <xdr:col>0</xdr:col>
      <xdr:colOff>1495425</xdr:colOff>
      <xdr:row>157</xdr:row>
      <xdr:rowOff>285750</xdr:rowOff>
    </xdr:to>
    <xdr:pic>
      <xdr:nvPicPr>
        <xdr:cNvPr id="1460320" name="Рисунок 19" descr="NVT-3201/2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0330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142</xdr:row>
      <xdr:rowOff>57150</xdr:rowOff>
    </xdr:from>
    <xdr:to>
      <xdr:col>0</xdr:col>
      <xdr:colOff>1504950</xdr:colOff>
      <xdr:row>142</xdr:row>
      <xdr:rowOff>1485900</xdr:rowOff>
    </xdr:to>
    <xdr:pic>
      <xdr:nvPicPr>
        <xdr:cNvPr id="1460321" name="Рисунок 18" descr="C:\Users\Денис\Desktop\Картинки для сайта\Ohaus\Анализатор влажности зерна\MC2000s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12324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161</xdr:row>
      <xdr:rowOff>28575</xdr:rowOff>
    </xdr:from>
    <xdr:to>
      <xdr:col>0</xdr:col>
      <xdr:colOff>1504950</xdr:colOff>
      <xdr:row>165</xdr:row>
      <xdr:rowOff>190500</xdr:rowOff>
    </xdr:to>
    <xdr:pic>
      <xdr:nvPicPr>
        <xdr:cNvPr id="1460322" name="Рисунок 20" descr="C:\Users\Денис\Desktop\Картинки для сайта\Ohaus\STX\STXs.jp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5191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165</xdr:row>
      <xdr:rowOff>9525</xdr:rowOff>
    </xdr:from>
    <xdr:to>
      <xdr:col>0</xdr:col>
      <xdr:colOff>1504950</xdr:colOff>
      <xdr:row>169</xdr:row>
      <xdr:rowOff>171450</xdr:rowOff>
    </xdr:to>
    <xdr:pic>
      <xdr:nvPicPr>
        <xdr:cNvPr id="1460323" name="Рисунок 21" descr="C:\Users\Денис\Desktop\Картинки для сайта\Ohaus\STX\STX_krugs.jp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97573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168</xdr:row>
      <xdr:rowOff>133350</xdr:rowOff>
    </xdr:from>
    <xdr:to>
      <xdr:col>0</xdr:col>
      <xdr:colOff>1504950</xdr:colOff>
      <xdr:row>172</xdr:row>
      <xdr:rowOff>295275</xdr:rowOff>
    </xdr:to>
    <xdr:pic>
      <xdr:nvPicPr>
        <xdr:cNvPr id="1460324" name="Рисунок 22" descr="C:\Users\Денис\Desktop\Картинки для сайта\Ohaus\STX\STX_kvads.jp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08241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176</xdr:row>
      <xdr:rowOff>28575</xdr:rowOff>
    </xdr:from>
    <xdr:to>
      <xdr:col>0</xdr:col>
      <xdr:colOff>1495425</xdr:colOff>
      <xdr:row>180</xdr:row>
      <xdr:rowOff>190500</xdr:rowOff>
    </xdr:to>
    <xdr:pic>
      <xdr:nvPicPr>
        <xdr:cNvPr id="1460325" name="Рисунок 26" descr="C:\Users\Денис\Desktop\Картинки для сайта\Ohaus\STX\SPXs.jp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33006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179</xdr:row>
      <xdr:rowOff>285750</xdr:rowOff>
    </xdr:from>
    <xdr:to>
      <xdr:col>0</xdr:col>
      <xdr:colOff>1504950</xdr:colOff>
      <xdr:row>184</xdr:row>
      <xdr:rowOff>123825</xdr:rowOff>
    </xdr:to>
    <xdr:pic>
      <xdr:nvPicPr>
        <xdr:cNvPr id="1460326" name="Рисунок 27" descr="C:\Users\Денис\Desktop\Картинки для сайта\Ohaus\STX\SPX_krugs.jp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4500800"/>
          <a:ext cx="1428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183</xdr:row>
      <xdr:rowOff>133350</xdr:rowOff>
    </xdr:from>
    <xdr:to>
      <xdr:col>0</xdr:col>
      <xdr:colOff>1495425</xdr:colOff>
      <xdr:row>187</xdr:row>
      <xdr:rowOff>295275</xdr:rowOff>
    </xdr:to>
    <xdr:pic>
      <xdr:nvPicPr>
        <xdr:cNvPr id="1460327" name="Рисунок 28" descr="C:\Users\Денис\Desktop\Картинки для сайта\Ohaus\STX\SPX_kvads.jp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56057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191</xdr:row>
      <xdr:rowOff>38100</xdr:rowOff>
    </xdr:from>
    <xdr:to>
      <xdr:col>0</xdr:col>
      <xdr:colOff>1495425</xdr:colOff>
      <xdr:row>195</xdr:row>
      <xdr:rowOff>200025</xdr:rowOff>
    </xdr:to>
    <xdr:pic>
      <xdr:nvPicPr>
        <xdr:cNvPr id="1460328" name="Рисунок 33" descr="C:\Users\Денис\Desktop\Картинки для сайта\Ohaus\SJX\SJXs.jp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917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195</xdr:row>
      <xdr:rowOff>9525</xdr:rowOff>
    </xdr:from>
    <xdr:to>
      <xdr:col>0</xdr:col>
      <xdr:colOff>1504950</xdr:colOff>
      <xdr:row>199</xdr:row>
      <xdr:rowOff>171450</xdr:rowOff>
    </xdr:to>
    <xdr:pic>
      <xdr:nvPicPr>
        <xdr:cNvPr id="1460329" name="Рисунок 34" descr="C:\Users\Денис\Desktop\Картинки для сайта\Ohaus\SJX\SJX_krugs.jp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93204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198</xdr:row>
      <xdr:rowOff>133350</xdr:rowOff>
    </xdr:from>
    <xdr:to>
      <xdr:col>0</xdr:col>
      <xdr:colOff>1504950</xdr:colOff>
      <xdr:row>202</xdr:row>
      <xdr:rowOff>295275</xdr:rowOff>
    </xdr:to>
    <xdr:pic>
      <xdr:nvPicPr>
        <xdr:cNvPr id="1460330" name="Рисунок 35" descr="C:\Users\Денис\Desktop\Картинки для сайта\Ohaus\SJX\SJX_kvads.jp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3872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134</xdr:row>
      <xdr:rowOff>266700</xdr:rowOff>
    </xdr:from>
    <xdr:to>
      <xdr:col>0</xdr:col>
      <xdr:colOff>1495425</xdr:colOff>
      <xdr:row>138</xdr:row>
      <xdr:rowOff>171450</xdr:rowOff>
    </xdr:to>
    <xdr:pic>
      <xdr:nvPicPr>
        <xdr:cNvPr id="1460332" name="Рисунок 30" descr="C:\Users\Денис\Desktop\Картинки\Ohaus\MB27_sm.jp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68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66675</xdr:colOff>
      <xdr:row>10</xdr:row>
      <xdr:rowOff>85725</xdr:rowOff>
    </xdr:from>
    <xdr:ext cx="1428750" cy="1427692"/>
    <xdr:pic>
      <xdr:nvPicPr>
        <xdr:cNvPr id="27" name="Рисунок 10" descr="EX-124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185225"/>
          <a:ext cx="1428750" cy="1427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19</xdr:row>
      <xdr:rowOff>124880</xdr:rowOff>
    </xdr:from>
    <xdr:ext cx="1428750" cy="1431925"/>
    <xdr:pic>
      <xdr:nvPicPr>
        <xdr:cNvPr id="28" name="Рисунок 13" descr="EX-124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025213"/>
          <a:ext cx="1428750" cy="143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286805</xdr:rowOff>
    </xdr:from>
    <xdr:ext cx="1428750" cy="1425575"/>
    <xdr:pic>
      <xdr:nvPicPr>
        <xdr:cNvPr id="29" name="Рисунок 14" descr="EX-620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457138"/>
          <a:ext cx="1428750" cy="142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76200</xdr:colOff>
      <xdr:row>28</xdr:row>
      <xdr:rowOff>91008</xdr:rowOff>
    </xdr:from>
    <xdr:ext cx="1419225" cy="1431925"/>
    <xdr:pic>
      <xdr:nvPicPr>
        <xdr:cNvPr id="30" name="Рисунок 27" descr="C:\Users\Денис\Desktop\Картинки для сайта\Ohaus\EX\EX_bs.jp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848841"/>
          <a:ext cx="1419225" cy="143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74081</xdr:colOff>
      <xdr:row>36</xdr:row>
      <xdr:rowOff>52915</xdr:rowOff>
    </xdr:from>
    <xdr:to>
      <xdr:col>0</xdr:col>
      <xdr:colOff>1502831</xdr:colOff>
      <xdr:row>38</xdr:row>
      <xdr:rowOff>465665</xdr:rowOff>
    </xdr:to>
    <xdr:pic>
      <xdr:nvPicPr>
        <xdr:cNvPr id="34" name="Рисунок 33" descr="C:\Users\Денис\Desktop\Картинки\Ohaus\PX\PX_ma_s.jpg"/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1959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42</xdr:row>
      <xdr:rowOff>84664</xdr:rowOff>
    </xdr:from>
    <xdr:to>
      <xdr:col>0</xdr:col>
      <xdr:colOff>1502831</xdr:colOff>
      <xdr:row>47</xdr:row>
      <xdr:rowOff>190498</xdr:rowOff>
    </xdr:to>
    <xdr:pic>
      <xdr:nvPicPr>
        <xdr:cNvPr id="36" name="Рисунок 35" descr="C:\Users\Денис\Desktop\Картинки\Ohaus\PX\PX_a_s.jpg"/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4647331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56</xdr:row>
      <xdr:rowOff>21127</xdr:rowOff>
    </xdr:from>
    <xdr:to>
      <xdr:col>0</xdr:col>
      <xdr:colOff>1492248</xdr:colOff>
      <xdr:row>61</xdr:row>
      <xdr:rowOff>232794</xdr:rowOff>
    </xdr:to>
    <xdr:pic>
      <xdr:nvPicPr>
        <xdr:cNvPr id="41" name="Рисунок 40" descr="C:\Users\Денис\Desktop\Картинки\Ohaus\PX\PX_lab_s.jpg"/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9092294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66</xdr:row>
      <xdr:rowOff>158619</xdr:rowOff>
    </xdr:from>
    <xdr:to>
      <xdr:col>0</xdr:col>
      <xdr:colOff>1492248</xdr:colOff>
      <xdr:row>72</xdr:row>
      <xdr:rowOff>126869</xdr:rowOff>
    </xdr:to>
    <xdr:pic>
      <xdr:nvPicPr>
        <xdr:cNvPr id="42" name="Рисунок 41" descr="C:\Users\Денис\Desktop\Картинки\Ohaus\PX\PX_lab2_s.jpg"/>
        <xdr:cNvPicPr/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166395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144</xdr:row>
      <xdr:rowOff>152400</xdr:rowOff>
    </xdr:from>
    <xdr:to>
      <xdr:col>0</xdr:col>
      <xdr:colOff>1495425</xdr:colOff>
      <xdr:row>150</xdr:row>
      <xdr:rowOff>114300</xdr:rowOff>
    </xdr:to>
    <xdr:pic>
      <xdr:nvPicPr>
        <xdr:cNvPr id="1454875" name="Рисунок 10" descr="AJ-220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631055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152</xdr:row>
      <xdr:rowOff>19050</xdr:rowOff>
    </xdr:from>
    <xdr:to>
      <xdr:col>0</xdr:col>
      <xdr:colOff>1504950</xdr:colOff>
      <xdr:row>157</xdr:row>
      <xdr:rowOff>228600</xdr:rowOff>
    </xdr:to>
    <xdr:pic>
      <xdr:nvPicPr>
        <xdr:cNvPr id="1454876" name="Рисунок 11" descr="AJ-820C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815840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198</xdr:row>
      <xdr:rowOff>76200</xdr:rowOff>
    </xdr:from>
    <xdr:to>
      <xdr:col>0</xdr:col>
      <xdr:colOff>1504950</xdr:colOff>
      <xdr:row>201</xdr:row>
      <xdr:rowOff>361950</xdr:rowOff>
    </xdr:to>
    <xdr:pic>
      <xdr:nvPicPr>
        <xdr:cNvPr id="1454877" name="Рисунок 19" descr="SJ-220CE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13029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202</xdr:row>
      <xdr:rowOff>28575</xdr:rowOff>
    </xdr:from>
    <xdr:to>
      <xdr:col>0</xdr:col>
      <xdr:colOff>1495425</xdr:colOff>
      <xdr:row>205</xdr:row>
      <xdr:rowOff>314325</xdr:rowOff>
    </xdr:to>
    <xdr:pic>
      <xdr:nvPicPr>
        <xdr:cNvPr id="1454878" name="Рисунок 20" descr="SJ-2200CE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7792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218</xdr:row>
      <xdr:rowOff>180975</xdr:rowOff>
    </xdr:from>
    <xdr:to>
      <xdr:col>0</xdr:col>
      <xdr:colOff>1504950</xdr:colOff>
      <xdr:row>222</xdr:row>
      <xdr:rowOff>85725</xdr:rowOff>
    </xdr:to>
    <xdr:pic>
      <xdr:nvPicPr>
        <xdr:cNvPr id="1454879" name="Рисунок 23" descr="CJ-220ER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78180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222</xdr:row>
      <xdr:rowOff>304800</xdr:rowOff>
    </xdr:from>
    <xdr:to>
      <xdr:col>0</xdr:col>
      <xdr:colOff>1495425</xdr:colOff>
      <xdr:row>226</xdr:row>
      <xdr:rowOff>209550</xdr:rowOff>
    </xdr:to>
    <xdr:pic>
      <xdr:nvPicPr>
        <xdr:cNvPr id="1454880" name="Рисунок 24" descr="CJ-2200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9465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246</xdr:row>
      <xdr:rowOff>38100</xdr:rowOff>
    </xdr:from>
    <xdr:to>
      <xdr:col>0</xdr:col>
      <xdr:colOff>1495425</xdr:colOff>
      <xdr:row>252</xdr:row>
      <xdr:rowOff>9525</xdr:rowOff>
    </xdr:to>
    <xdr:pic>
      <xdr:nvPicPr>
        <xdr:cNvPr id="1454881" name="Рисунок 27" descr="HJ-17KSCE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44765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306</xdr:row>
      <xdr:rowOff>76200</xdr:rowOff>
    </xdr:from>
    <xdr:to>
      <xdr:col>0</xdr:col>
      <xdr:colOff>1495425</xdr:colOff>
      <xdr:row>311</xdr:row>
      <xdr:rowOff>122766</xdr:rowOff>
    </xdr:to>
    <xdr:pic>
      <xdr:nvPicPr>
        <xdr:cNvPr id="1454882" name="Рисунок 31" descr="GZII-B6000CEX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62110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313</xdr:row>
      <xdr:rowOff>21169</xdr:rowOff>
    </xdr:from>
    <xdr:to>
      <xdr:col>0</xdr:col>
      <xdr:colOff>1504950</xdr:colOff>
      <xdr:row>318</xdr:row>
      <xdr:rowOff>77261</xdr:rowOff>
    </xdr:to>
    <xdr:pic>
      <xdr:nvPicPr>
        <xdr:cNvPr id="1454883" name="Рисунок 32" descr="GZII-B2000CEX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1059002"/>
          <a:ext cx="1428750" cy="143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319</xdr:row>
      <xdr:rowOff>190500</xdr:rowOff>
    </xdr:from>
    <xdr:to>
      <xdr:col>0</xdr:col>
      <xdr:colOff>1495425</xdr:colOff>
      <xdr:row>324</xdr:row>
      <xdr:rowOff>246592</xdr:rowOff>
    </xdr:to>
    <xdr:pic>
      <xdr:nvPicPr>
        <xdr:cNvPr id="1454884" name="Рисунок 33" descr="GZH-B30KCEX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95485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57</xdr:row>
      <xdr:rowOff>57150</xdr:rowOff>
    </xdr:from>
    <xdr:to>
      <xdr:col>0</xdr:col>
      <xdr:colOff>1495425</xdr:colOff>
      <xdr:row>58</xdr:row>
      <xdr:rowOff>723900</xdr:rowOff>
    </xdr:to>
    <xdr:pic>
      <xdr:nvPicPr>
        <xdr:cNvPr id="1454885" name="Рисунок 28" descr="C:\Users\Denis\Desktop\Картинки для сайта\Shinko\Ювелирные весы\CTs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97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59</xdr:row>
      <xdr:rowOff>38100</xdr:rowOff>
    </xdr:from>
    <xdr:to>
      <xdr:col>0</xdr:col>
      <xdr:colOff>1495425</xdr:colOff>
      <xdr:row>60</xdr:row>
      <xdr:rowOff>704850</xdr:rowOff>
    </xdr:to>
    <xdr:pic>
      <xdr:nvPicPr>
        <xdr:cNvPr id="1454886" name="Рисунок 29" descr="C:\Users\Denis\Desktop\Картинки для сайта\Shinko\Ювелирные весы\CT_vs.jp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2027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</xdr:row>
      <xdr:rowOff>57150</xdr:rowOff>
    </xdr:from>
    <xdr:to>
      <xdr:col>0</xdr:col>
      <xdr:colOff>1495425</xdr:colOff>
      <xdr:row>2</xdr:row>
      <xdr:rowOff>1485900</xdr:rowOff>
    </xdr:to>
    <xdr:pic>
      <xdr:nvPicPr>
        <xdr:cNvPr id="1454887" name="Рисунок 23" descr="C:\Users\Denis\Desktop\Картинки для сайта\Shinko\Анализатор\MD-83s.jp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2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</xdr:row>
      <xdr:rowOff>57150</xdr:rowOff>
    </xdr:from>
    <xdr:to>
      <xdr:col>0</xdr:col>
      <xdr:colOff>1495425</xdr:colOff>
      <xdr:row>13</xdr:row>
      <xdr:rowOff>1485900</xdr:rowOff>
    </xdr:to>
    <xdr:pic>
      <xdr:nvPicPr>
        <xdr:cNvPr id="1454888" name="Рисунок 27" descr="C:\Users\Денис\Desktop\Картинки\ViBRA\AF_sm.jp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3340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</xdr:row>
      <xdr:rowOff>57150</xdr:rowOff>
    </xdr:from>
    <xdr:to>
      <xdr:col>0</xdr:col>
      <xdr:colOff>1495425</xdr:colOff>
      <xdr:row>26</xdr:row>
      <xdr:rowOff>1485900</xdr:rowOff>
    </xdr:to>
    <xdr:pic>
      <xdr:nvPicPr>
        <xdr:cNvPr id="1454889" name="Рисунок 29" descr="C:\Users\Денис\Desktop\Картинки\ViBRA\AF_sm.jp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67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39</xdr:row>
      <xdr:rowOff>19050</xdr:rowOff>
    </xdr:from>
    <xdr:to>
      <xdr:col>0</xdr:col>
      <xdr:colOff>1495425</xdr:colOff>
      <xdr:row>44</xdr:row>
      <xdr:rowOff>209550</xdr:rowOff>
    </xdr:to>
    <xdr:pic>
      <xdr:nvPicPr>
        <xdr:cNvPr id="1454890" name="Рисунок 8" descr="HT 84CE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5638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74</xdr:row>
      <xdr:rowOff>38100</xdr:rowOff>
    </xdr:from>
    <xdr:to>
      <xdr:col>0</xdr:col>
      <xdr:colOff>1504950</xdr:colOff>
      <xdr:row>79</xdr:row>
      <xdr:rowOff>228601</xdr:rowOff>
    </xdr:to>
    <xdr:pic>
      <xdr:nvPicPr>
        <xdr:cNvPr id="1454891" name="Рисунок 14" descr="LN 223CE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7584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81</xdr:row>
      <xdr:rowOff>66675</xdr:rowOff>
    </xdr:from>
    <xdr:to>
      <xdr:col>0</xdr:col>
      <xdr:colOff>1495425</xdr:colOff>
      <xdr:row>87</xdr:row>
      <xdr:rowOff>0</xdr:rowOff>
    </xdr:to>
    <xdr:pic>
      <xdr:nvPicPr>
        <xdr:cNvPr id="1454892" name="Рисунок 15" descr="LN 1202CE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65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88</xdr:row>
      <xdr:rowOff>95250</xdr:rowOff>
    </xdr:from>
    <xdr:to>
      <xdr:col>0</xdr:col>
      <xdr:colOff>1495425</xdr:colOff>
      <xdr:row>94</xdr:row>
      <xdr:rowOff>38100</xdr:rowOff>
    </xdr:to>
    <xdr:pic>
      <xdr:nvPicPr>
        <xdr:cNvPr id="1454893" name="Рисунок 16" descr="LN 21001CE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086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179</xdr:row>
      <xdr:rowOff>66675</xdr:rowOff>
    </xdr:from>
    <xdr:to>
      <xdr:col>0</xdr:col>
      <xdr:colOff>1495425</xdr:colOff>
      <xdr:row>183</xdr:row>
      <xdr:rowOff>228600</xdr:rowOff>
    </xdr:to>
    <xdr:pic>
      <xdr:nvPicPr>
        <xdr:cNvPr id="1454894" name="Рисунок 25" descr="D:\С рабочего стола\Картинки для сайта\Shinko\Серия AB\ABs.jp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54164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269</xdr:row>
      <xdr:rowOff>123825</xdr:rowOff>
    </xdr:from>
    <xdr:to>
      <xdr:col>0</xdr:col>
      <xdr:colOff>1495425</xdr:colOff>
      <xdr:row>273</xdr:row>
      <xdr:rowOff>285750</xdr:rowOff>
    </xdr:to>
    <xdr:pic>
      <xdr:nvPicPr>
        <xdr:cNvPr id="1454895" name="Рисунок 25" descr="C:\Users\Денис\Desktop\Картинки\ViBRA\FS_sm.jp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286750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276</xdr:row>
      <xdr:rowOff>19050</xdr:rowOff>
    </xdr:from>
    <xdr:to>
      <xdr:col>0</xdr:col>
      <xdr:colOff>1495425</xdr:colOff>
      <xdr:row>280</xdr:row>
      <xdr:rowOff>175683</xdr:rowOff>
    </xdr:to>
    <xdr:pic>
      <xdr:nvPicPr>
        <xdr:cNvPr id="1454896" name="Рисунок 26" descr="C:\Users\Денис\Desktop\Картинки\ViBRA\FS2_sm.jp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449627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282</xdr:row>
      <xdr:rowOff>161925</xdr:rowOff>
    </xdr:from>
    <xdr:to>
      <xdr:col>0</xdr:col>
      <xdr:colOff>1495425</xdr:colOff>
      <xdr:row>286</xdr:row>
      <xdr:rowOff>314325</xdr:rowOff>
    </xdr:to>
    <xdr:pic>
      <xdr:nvPicPr>
        <xdr:cNvPr id="1454897" name="Рисунок 27" descr="C:\Users\Денис\Desktop\Картинки\ViBRA\FS3_sm.jp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612505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334</xdr:row>
      <xdr:rowOff>123825</xdr:rowOff>
    </xdr:from>
    <xdr:to>
      <xdr:col>0</xdr:col>
      <xdr:colOff>1495425</xdr:colOff>
      <xdr:row>338</xdr:row>
      <xdr:rowOff>3175</xdr:rowOff>
    </xdr:to>
    <xdr:pic>
      <xdr:nvPicPr>
        <xdr:cNvPr id="1454898" name="Рисунок 25" descr="C:\Users\Денис\Desktop\Картинки\ViBRA\FS_sm.jp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02506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338</xdr:row>
      <xdr:rowOff>220176</xdr:rowOff>
    </xdr:from>
    <xdr:to>
      <xdr:col>0</xdr:col>
      <xdr:colOff>1495425</xdr:colOff>
      <xdr:row>342</xdr:row>
      <xdr:rowOff>103760</xdr:rowOff>
    </xdr:to>
    <xdr:pic>
      <xdr:nvPicPr>
        <xdr:cNvPr id="1454899" name="Рисунок 26" descr="C:\Users\Денис\Desktop\Картинки\ViBRA\FS2_sm.jp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8962676"/>
          <a:ext cx="1428750" cy="14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343</xdr:row>
      <xdr:rowOff>214919</xdr:rowOff>
    </xdr:from>
    <xdr:to>
      <xdr:col>0</xdr:col>
      <xdr:colOff>1495425</xdr:colOff>
      <xdr:row>347</xdr:row>
      <xdr:rowOff>84744</xdr:rowOff>
    </xdr:to>
    <xdr:pic>
      <xdr:nvPicPr>
        <xdr:cNvPr id="1454900" name="Рисунок 27" descr="C:\Users\Денис\Desktop\Картинки\ViBRA\FS3_sm.jp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0862419"/>
          <a:ext cx="1428750" cy="139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113</xdr:row>
      <xdr:rowOff>57150</xdr:rowOff>
    </xdr:from>
    <xdr:to>
      <xdr:col>0</xdr:col>
      <xdr:colOff>1504950</xdr:colOff>
      <xdr:row>119</xdr:row>
      <xdr:rowOff>19050</xdr:rowOff>
    </xdr:to>
    <xdr:pic>
      <xdr:nvPicPr>
        <xdr:cNvPr id="1454901" name="Рисунок 30" descr="C:\Users\Денис\Desktop\Картинки\ViBRA\ALE_118_sm.jp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789997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120</xdr:row>
      <xdr:rowOff>152400</xdr:rowOff>
    </xdr:from>
    <xdr:to>
      <xdr:col>0</xdr:col>
      <xdr:colOff>1504950</xdr:colOff>
      <xdr:row>126</xdr:row>
      <xdr:rowOff>114300</xdr:rowOff>
    </xdr:to>
    <xdr:pic>
      <xdr:nvPicPr>
        <xdr:cNvPr id="1454902" name="Рисунок 31" descr="C:\Users\Денис\Desktop\Картинки\ViBRA\ALE_160-180_sm.jp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972877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200025</xdr:rowOff>
    </xdr:from>
    <xdr:to>
      <xdr:col>0</xdr:col>
      <xdr:colOff>1504950</xdr:colOff>
      <xdr:row>9</xdr:row>
      <xdr:rowOff>171450</xdr:rowOff>
    </xdr:to>
    <xdr:pic>
      <xdr:nvPicPr>
        <xdr:cNvPr id="1457880" name="Рисунок 15" descr="CAUX-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09675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41</xdr:row>
      <xdr:rowOff>57150</xdr:rowOff>
    </xdr:from>
    <xdr:to>
      <xdr:col>0</xdr:col>
      <xdr:colOff>1495425</xdr:colOff>
      <xdr:row>44</xdr:row>
      <xdr:rowOff>180975</xdr:rowOff>
    </xdr:to>
    <xdr:pic>
      <xdr:nvPicPr>
        <xdr:cNvPr id="1457881" name="Рисунок 16" descr="MWP-15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01090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44</xdr:row>
      <xdr:rowOff>257175</xdr:rowOff>
    </xdr:from>
    <xdr:to>
      <xdr:col>0</xdr:col>
      <xdr:colOff>1504950</xdr:colOff>
      <xdr:row>47</xdr:row>
      <xdr:rowOff>381000</xdr:rowOff>
    </xdr:to>
    <xdr:pic>
      <xdr:nvPicPr>
        <xdr:cNvPr id="1457882" name="Рисунок 17" descr="MWP-300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52537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</xdr:row>
      <xdr:rowOff>95250</xdr:rowOff>
    </xdr:from>
    <xdr:to>
      <xdr:col>0</xdr:col>
      <xdr:colOff>1495425</xdr:colOff>
      <xdr:row>26</xdr:row>
      <xdr:rowOff>66675</xdr:rowOff>
    </xdr:to>
    <xdr:pic>
      <xdr:nvPicPr>
        <xdr:cNvPr id="1457883" name="Рисунок 18" descr="CUX-220H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58165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28</xdr:row>
      <xdr:rowOff>161925</xdr:rowOff>
    </xdr:from>
    <xdr:to>
      <xdr:col>0</xdr:col>
      <xdr:colOff>1495425</xdr:colOff>
      <xdr:row>34</xdr:row>
      <xdr:rowOff>123825</xdr:rowOff>
    </xdr:to>
    <xdr:pic>
      <xdr:nvPicPr>
        <xdr:cNvPr id="1457884" name="Рисунок 19" descr="CUX-4200S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952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61</xdr:row>
      <xdr:rowOff>57150</xdr:rowOff>
    </xdr:from>
    <xdr:to>
      <xdr:col>0</xdr:col>
      <xdr:colOff>1495425</xdr:colOff>
      <xdr:row>64</xdr:row>
      <xdr:rowOff>342900</xdr:rowOff>
    </xdr:to>
    <xdr:pic>
      <xdr:nvPicPr>
        <xdr:cNvPr id="1457885" name="Рисунок 20" descr="C:\Users\Denis\Desktop\Картинки для сайта\CAS\CBL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1641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68</xdr:row>
      <xdr:rowOff>85725</xdr:rowOff>
    </xdr:from>
    <xdr:to>
      <xdr:col>0</xdr:col>
      <xdr:colOff>1495425</xdr:colOff>
      <xdr:row>72</xdr:row>
      <xdr:rowOff>247650</xdr:rowOff>
    </xdr:to>
    <xdr:pic>
      <xdr:nvPicPr>
        <xdr:cNvPr id="1457886" name="Рисунок 25" descr="C:\Users\Denis\Desktop\Картинки для сайта\CAS\CBXs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7264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81</xdr:row>
      <xdr:rowOff>57150</xdr:rowOff>
    </xdr:from>
    <xdr:to>
      <xdr:col>0</xdr:col>
      <xdr:colOff>1495425</xdr:colOff>
      <xdr:row>84</xdr:row>
      <xdr:rowOff>342900</xdr:rowOff>
    </xdr:to>
    <xdr:pic>
      <xdr:nvPicPr>
        <xdr:cNvPr id="1457887" name="Рисунок 27" descr="ED-3H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8127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88</xdr:row>
      <xdr:rowOff>133350</xdr:rowOff>
    </xdr:from>
    <xdr:to>
      <xdr:col>0</xdr:col>
      <xdr:colOff>1495425</xdr:colOff>
      <xdr:row>94</xdr:row>
      <xdr:rowOff>104775</xdr:rowOff>
    </xdr:to>
    <xdr:pic>
      <xdr:nvPicPr>
        <xdr:cNvPr id="1457888" name="Рисунок 30" descr="AD-2.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42260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115</xdr:row>
      <xdr:rowOff>57150</xdr:rowOff>
    </xdr:from>
    <xdr:to>
      <xdr:col>0</xdr:col>
      <xdr:colOff>1495425</xdr:colOff>
      <xdr:row>117</xdr:row>
      <xdr:rowOff>466725</xdr:rowOff>
    </xdr:to>
    <xdr:pic>
      <xdr:nvPicPr>
        <xdr:cNvPr id="1457889" name="Рисунок 32" descr="PW-2H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042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127</xdr:row>
      <xdr:rowOff>114300</xdr:rowOff>
    </xdr:from>
    <xdr:to>
      <xdr:col>0</xdr:col>
      <xdr:colOff>1495425</xdr:colOff>
      <xdr:row>133</xdr:row>
      <xdr:rowOff>85725</xdr:rowOff>
    </xdr:to>
    <xdr:pic>
      <xdr:nvPicPr>
        <xdr:cNvPr id="1457890" name="Рисунок 35" descr="SW-I-2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9309675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133</xdr:row>
      <xdr:rowOff>161925</xdr:rowOff>
    </xdr:from>
    <xdr:to>
      <xdr:col>0</xdr:col>
      <xdr:colOff>1495425</xdr:colOff>
      <xdr:row>139</xdr:row>
      <xdr:rowOff>133350</xdr:rowOff>
    </xdr:to>
    <xdr:pic>
      <xdr:nvPicPr>
        <xdr:cNvPr id="1457891" name="Рисунок 36" descr="SW-5W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084320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147</xdr:row>
      <xdr:rowOff>28575</xdr:rowOff>
    </xdr:from>
    <xdr:to>
      <xdr:col>0</xdr:col>
      <xdr:colOff>1495425</xdr:colOff>
      <xdr:row>152</xdr:row>
      <xdr:rowOff>19050</xdr:rowOff>
    </xdr:to>
    <xdr:pic>
      <xdr:nvPicPr>
        <xdr:cNvPr id="1457892" name="Рисунок 39" descr="SWII-2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45674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164</xdr:row>
      <xdr:rowOff>57150</xdr:rowOff>
    </xdr:from>
    <xdr:to>
      <xdr:col>0</xdr:col>
      <xdr:colOff>1495425</xdr:colOff>
      <xdr:row>167</xdr:row>
      <xdr:rowOff>342900</xdr:rowOff>
    </xdr:to>
    <xdr:pic>
      <xdr:nvPicPr>
        <xdr:cNvPr id="1457893" name="Рисунок 41" descr="CS-2.5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453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171</xdr:row>
      <xdr:rowOff>57150</xdr:rowOff>
    </xdr:from>
    <xdr:to>
      <xdr:col>0</xdr:col>
      <xdr:colOff>1495425</xdr:colOff>
      <xdr:row>174</xdr:row>
      <xdr:rowOff>342900</xdr:rowOff>
    </xdr:to>
    <xdr:pic>
      <xdr:nvPicPr>
        <xdr:cNvPr id="1457894" name="Рисунок 43" descr="EC-6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19874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184</xdr:row>
      <xdr:rowOff>19050</xdr:rowOff>
    </xdr:from>
    <xdr:to>
      <xdr:col>0</xdr:col>
      <xdr:colOff>1504950</xdr:colOff>
      <xdr:row>189</xdr:row>
      <xdr:rowOff>228600</xdr:rowOff>
    </xdr:to>
    <xdr:pic>
      <xdr:nvPicPr>
        <xdr:cNvPr id="1457895" name="Рисунок 17" descr="BW-60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00712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193</xdr:row>
      <xdr:rowOff>57150</xdr:rowOff>
    </xdr:from>
    <xdr:to>
      <xdr:col>0</xdr:col>
      <xdr:colOff>1495425</xdr:colOff>
      <xdr:row>196</xdr:row>
      <xdr:rowOff>342900</xdr:rowOff>
    </xdr:to>
    <xdr:pic>
      <xdr:nvPicPr>
        <xdr:cNvPr id="1457896" name="Рисунок 19" descr="DL-60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95407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200</xdr:row>
      <xdr:rowOff>57150</xdr:rowOff>
    </xdr:from>
    <xdr:to>
      <xdr:col>0</xdr:col>
      <xdr:colOff>1495425</xdr:colOff>
      <xdr:row>203</xdr:row>
      <xdr:rowOff>342900</xdr:rowOff>
    </xdr:to>
    <xdr:pic>
      <xdr:nvPicPr>
        <xdr:cNvPr id="1457897" name="Рисунок 22" descr="DB-1H 60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0744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207</xdr:row>
      <xdr:rowOff>57150</xdr:rowOff>
    </xdr:from>
    <xdr:to>
      <xdr:col>0</xdr:col>
      <xdr:colOff>1495425</xdr:colOff>
      <xdr:row>208</xdr:row>
      <xdr:rowOff>723900</xdr:rowOff>
    </xdr:to>
    <xdr:pic>
      <xdr:nvPicPr>
        <xdr:cNvPr id="1457898" name="Рисунок 24" descr="DBII-60E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46080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223</xdr:row>
      <xdr:rowOff>57150</xdr:rowOff>
    </xdr:from>
    <xdr:to>
      <xdr:col>0</xdr:col>
      <xdr:colOff>1495425</xdr:colOff>
      <xdr:row>226</xdr:row>
      <xdr:rowOff>342900</xdr:rowOff>
    </xdr:to>
    <xdr:pic>
      <xdr:nvPicPr>
        <xdr:cNvPr id="1457899" name="Рисунок 26" descr="PB-60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1993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230</xdr:row>
      <xdr:rowOff>38100</xdr:rowOff>
    </xdr:from>
    <xdr:to>
      <xdr:col>0</xdr:col>
      <xdr:colOff>1495425</xdr:colOff>
      <xdr:row>233</xdr:row>
      <xdr:rowOff>76200</xdr:rowOff>
    </xdr:to>
    <xdr:pic>
      <xdr:nvPicPr>
        <xdr:cNvPr id="1457900" name="Рисунок 28" descr="C:\Users\Denis\Desktop\Картинки для сайта\CAS\PR.jp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71397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232</xdr:row>
      <xdr:rowOff>390525</xdr:rowOff>
    </xdr:from>
    <xdr:to>
      <xdr:col>0</xdr:col>
      <xdr:colOff>1495425</xdr:colOff>
      <xdr:row>235</xdr:row>
      <xdr:rowOff>419100</xdr:rowOff>
    </xdr:to>
    <xdr:pic>
      <xdr:nvPicPr>
        <xdr:cNvPr id="1457901" name="Рисунок 29" descr="C:\Users\Denis\Desktop\Картинки для сайта\CAS\PRb.jp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9998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239</xdr:row>
      <xdr:rowOff>66675</xdr:rowOff>
    </xdr:from>
    <xdr:to>
      <xdr:col>0</xdr:col>
      <xdr:colOff>1495425</xdr:colOff>
      <xdr:row>241</xdr:row>
      <xdr:rowOff>479425</xdr:rowOff>
    </xdr:to>
    <xdr:pic>
      <xdr:nvPicPr>
        <xdr:cNvPr id="1457902" name="Рисунок 25" descr="C:\Users\Denis\Desktop\Картинки для сайта\CAS\ER.jp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5525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242</xdr:row>
      <xdr:rowOff>28575</xdr:rowOff>
    </xdr:from>
    <xdr:to>
      <xdr:col>0</xdr:col>
      <xdr:colOff>1504950</xdr:colOff>
      <xdr:row>244</xdr:row>
      <xdr:rowOff>441325</xdr:rowOff>
    </xdr:to>
    <xdr:pic>
      <xdr:nvPicPr>
        <xdr:cNvPr id="1457903" name="Рисунок 26" descr="C:\Users\Denis\Desktop\Картинки для сайта\CAS\ER2.jp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90384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248</xdr:row>
      <xdr:rowOff>38100</xdr:rowOff>
    </xdr:from>
    <xdr:to>
      <xdr:col>0</xdr:col>
      <xdr:colOff>1495425</xdr:colOff>
      <xdr:row>252</xdr:row>
      <xdr:rowOff>200025</xdr:rowOff>
    </xdr:to>
    <xdr:pic>
      <xdr:nvPicPr>
        <xdr:cNvPr id="1457904" name="Рисунок 29" descr="C:\Users\Denis\Desktop\Картинки для сайта\CAS\AP.jp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15816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253</xdr:row>
      <xdr:rowOff>95250</xdr:rowOff>
    </xdr:from>
    <xdr:to>
      <xdr:col>0</xdr:col>
      <xdr:colOff>1495425</xdr:colOff>
      <xdr:row>257</xdr:row>
      <xdr:rowOff>257175</xdr:rowOff>
    </xdr:to>
    <xdr:pic>
      <xdr:nvPicPr>
        <xdr:cNvPr id="1457905" name="Рисунок 30" descr="C:\Users\Denis\Desktop\Картинки для сайта\CAS\AP2.jp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32104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279</xdr:row>
      <xdr:rowOff>28575</xdr:rowOff>
    </xdr:from>
    <xdr:to>
      <xdr:col>0</xdr:col>
      <xdr:colOff>1495425</xdr:colOff>
      <xdr:row>283</xdr:row>
      <xdr:rowOff>152400</xdr:rowOff>
    </xdr:to>
    <xdr:pic>
      <xdr:nvPicPr>
        <xdr:cNvPr id="1457906" name="Рисунок 33" descr="C:\Users\Denis\Desktop\Картинки для сайта\CAS\LP.jpg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35355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283</xdr:row>
      <xdr:rowOff>114300</xdr:rowOff>
    </xdr:from>
    <xdr:to>
      <xdr:col>0</xdr:col>
      <xdr:colOff>1504950</xdr:colOff>
      <xdr:row>287</xdr:row>
      <xdr:rowOff>238125</xdr:rowOff>
    </xdr:to>
    <xdr:pic>
      <xdr:nvPicPr>
        <xdr:cNvPr id="1457907" name="Рисунок 34" descr="C:\Users\Denis\Desktop\Картинки для сайта\CAS\LPR.jp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49166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294</xdr:row>
      <xdr:rowOff>38100</xdr:rowOff>
    </xdr:from>
    <xdr:to>
      <xdr:col>0</xdr:col>
      <xdr:colOff>1495425</xdr:colOff>
      <xdr:row>295</xdr:row>
      <xdr:rowOff>704850</xdr:rowOff>
    </xdr:to>
    <xdr:pic>
      <xdr:nvPicPr>
        <xdr:cNvPr id="1457908" name="Рисунок 36" descr="RW-10P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82122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312</xdr:row>
      <xdr:rowOff>38100</xdr:rowOff>
    </xdr:from>
    <xdr:to>
      <xdr:col>0</xdr:col>
      <xdr:colOff>1495425</xdr:colOff>
      <xdr:row>314</xdr:row>
      <xdr:rowOff>219075</xdr:rowOff>
    </xdr:to>
    <xdr:pic>
      <xdr:nvPicPr>
        <xdr:cNvPr id="1457909" name="Рисунок 39" descr="0.5 THA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526077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314</xdr:row>
      <xdr:rowOff>390525</xdr:rowOff>
    </xdr:from>
    <xdr:to>
      <xdr:col>0</xdr:col>
      <xdr:colOff>1495425</xdr:colOff>
      <xdr:row>316</xdr:row>
      <xdr:rowOff>571500</xdr:rowOff>
    </xdr:to>
    <xdr:pic>
      <xdr:nvPicPr>
        <xdr:cNvPr id="1457910" name="Рисунок 40" descr="1 THA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687050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325</xdr:row>
      <xdr:rowOff>219075</xdr:rowOff>
    </xdr:from>
    <xdr:to>
      <xdr:col>0</xdr:col>
      <xdr:colOff>1485900</xdr:colOff>
      <xdr:row>331</xdr:row>
      <xdr:rowOff>190500</xdr:rowOff>
    </xdr:to>
    <xdr:pic>
      <xdr:nvPicPr>
        <xdr:cNvPr id="1457911" name="Рисунок 43" descr="1 THD с BT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83290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320</xdr:row>
      <xdr:rowOff>38100</xdr:rowOff>
    </xdr:from>
    <xdr:to>
      <xdr:col>0</xdr:col>
      <xdr:colOff>1495425</xdr:colOff>
      <xdr:row>326</xdr:row>
      <xdr:rowOff>9525</xdr:rowOff>
    </xdr:to>
    <xdr:pic>
      <xdr:nvPicPr>
        <xdr:cNvPr id="1457912" name="Рисунок 44" descr="5 THD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413675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76</xdr:row>
      <xdr:rowOff>57150</xdr:rowOff>
    </xdr:from>
    <xdr:to>
      <xdr:col>0</xdr:col>
      <xdr:colOff>1495425</xdr:colOff>
      <xdr:row>77</xdr:row>
      <xdr:rowOff>723900</xdr:rowOff>
    </xdr:to>
    <xdr:pic>
      <xdr:nvPicPr>
        <xdr:cNvPr id="1457913" name="Рисунок 35" descr="C:\Users\Денис\Desktop\Картинки для сайта\CAS\REs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2791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121</xdr:row>
      <xdr:rowOff>57150</xdr:rowOff>
    </xdr:from>
    <xdr:to>
      <xdr:col>0</xdr:col>
      <xdr:colOff>1495425</xdr:colOff>
      <xdr:row>123</xdr:row>
      <xdr:rowOff>466725</xdr:rowOff>
    </xdr:to>
    <xdr:pic>
      <xdr:nvPicPr>
        <xdr:cNvPr id="1457914" name="Рисунок 37" descr="C:\Users\Денис\Desktop\Картинки для сайта\CAS\FW500s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7284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178</xdr:row>
      <xdr:rowOff>57150</xdr:rowOff>
    </xdr:from>
    <xdr:to>
      <xdr:col>0</xdr:col>
      <xdr:colOff>1495425</xdr:colOff>
      <xdr:row>180</xdr:row>
      <xdr:rowOff>466725</xdr:rowOff>
    </xdr:to>
    <xdr:pic>
      <xdr:nvPicPr>
        <xdr:cNvPr id="1457915" name="Рисунок 39" descr="C:\Users\Денис\Desktop\Картинки для сайта\CAS\ACs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45211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212</xdr:row>
      <xdr:rowOff>57150</xdr:rowOff>
    </xdr:from>
    <xdr:to>
      <xdr:col>0</xdr:col>
      <xdr:colOff>1504950</xdr:colOff>
      <xdr:row>215</xdr:row>
      <xdr:rowOff>342900</xdr:rowOff>
    </xdr:to>
    <xdr:pic>
      <xdr:nvPicPr>
        <xdr:cNvPr id="1457916" name="Рисунок 38" descr="C:\Users\Денис\Desktop\Картинки для сайта\CAS\DB-II(W)s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71417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216</xdr:row>
      <xdr:rowOff>66675</xdr:rowOff>
    </xdr:from>
    <xdr:to>
      <xdr:col>0</xdr:col>
      <xdr:colOff>1495425</xdr:colOff>
      <xdr:row>219</xdr:row>
      <xdr:rowOff>352425</xdr:rowOff>
    </xdr:to>
    <xdr:pic>
      <xdr:nvPicPr>
        <xdr:cNvPr id="1457917" name="Рисунок 39" descr="C:\Users\Денис\Desktop\Картинки для сайта\CAS\DBIIs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8675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305</xdr:row>
      <xdr:rowOff>57150</xdr:rowOff>
    </xdr:from>
    <xdr:to>
      <xdr:col>0</xdr:col>
      <xdr:colOff>1495425</xdr:colOff>
      <xdr:row>306</xdr:row>
      <xdr:rowOff>723900</xdr:rowOff>
    </xdr:to>
    <xdr:pic>
      <xdr:nvPicPr>
        <xdr:cNvPr id="1457918" name="Рисунок 42" descr="C:\Users\Денис\Desktop\Картинки для сайта\CAS\CPSs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22508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261</xdr:row>
      <xdr:rowOff>52915</xdr:rowOff>
    </xdr:from>
    <xdr:to>
      <xdr:col>0</xdr:col>
      <xdr:colOff>1495425</xdr:colOff>
      <xdr:row>264</xdr:row>
      <xdr:rowOff>338665</xdr:rowOff>
    </xdr:to>
    <xdr:pic>
      <xdr:nvPicPr>
        <xdr:cNvPr id="1457919" name="Рисунок 43" descr="C:\Users\Денис\Desktop\Картинки для сайта\CAS\CL5000-15B-TCP-IPs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7058498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264</xdr:row>
      <xdr:rowOff>126975</xdr:rowOff>
    </xdr:from>
    <xdr:to>
      <xdr:col>0</xdr:col>
      <xdr:colOff>1495425</xdr:colOff>
      <xdr:row>268</xdr:row>
      <xdr:rowOff>31725</xdr:rowOff>
    </xdr:to>
    <xdr:pic>
      <xdr:nvPicPr>
        <xdr:cNvPr id="1457920" name="Рисунок 44" descr="C:\Users\Денис\Desktop\Картинки для сайта\CAS\CL5000-15P-TCP-IPs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275558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268</xdr:row>
      <xdr:rowOff>48662</xdr:rowOff>
    </xdr:from>
    <xdr:to>
      <xdr:col>0</xdr:col>
      <xdr:colOff>1495425</xdr:colOff>
      <xdr:row>271</xdr:row>
      <xdr:rowOff>334412</xdr:rowOff>
    </xdr:to>
    <xdr:pic>
      <xdr:nvPicPr>
        <xdr:cNvPr id="1457921" name="Рисунок 45" descr="C:\Users\Денис\Desktop\Картинки для сайта\CAS\CL5000-15H-TCP-IPs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972124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151</xdr:row>
      <xdr:rowOff>209550</xdr:rowOff>
    </xdr:from>
    <xdr:to>
      <xdr:col>0</xdr:col>
      <xdr:colOff>1495425</xdr:colOff>
      <xdr:row>156</xdr:row>
      <xdr:rowOff>209550</xdr:rowOff>
    </xdr:to>
    <xdr:pic>
      <xdr:nvPicPr>
        <xdr:cNvPr id="1457923" name="Рисунок 44" descr="C:\Users\Денис\Desktop\Картинки для сайта\CAS\SWII-Ps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58914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51</xdr:row>
      <xdr:rowOff>28575</xdr:rowOff>
    </xdr:from>
    <xdr:to>
      <xdr:col>0</xdr:col>
      <xdr:colOff>1504950</xdr:colOff>
      <xdr:row>55</xdr:row>
      <xdr:rowOff>190500</xdr:rowOff>
    </xdr:to>
    <xdr:pic>
      <xdr:nvPicPr>
        <xdr:cNvPr id="1457924" name="Рисунок 46" descr="C:\Users\Денис\Desktop\Картинки для сайта\CAS\XE_krs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0590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99</xdr:row>
      <xdr:rowOff>230710</xdr:rowOff>
    </xdr:from>
    <xdr:to>
      <xdr:col>0</xdr:col>
      <xdr:colOff>1504950</xdr:colOff>
      <xdr:row>105</xdr:row>
      <xdr:rowOff>196844</xdr:rowOff>
    </xdr:to>
    <xdr:pic>
      <xdr:nvPicPr>
        <xdr:cNvPr id="1457925" name="Рисунок 47" descr="C:\Users\Денис\Desktop\Картинки для сайта\CAS\SWNs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1546793"/>
          <a:ext cx="1428750" cy="1426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3</xdr:row>
      <xdr:rowOff>19050</xdr:rowOff>
    </xdr:from>
    <xdr:to>
      <xdr:col>0</xdr:col>
      <xdr:colOff>1495425</xdr:colOff>
      <xdr:row>8</xdr:row>
      <xdr:rowOff>228600</xdr:rowOff>
    </xdr:to>
    <xdr:pic>
      <xdr:nvPicPr>
        <xdr:cNvPr id="1368808" name="Рисунок 20" descr="HCB-3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5252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</xdr:row>
      <xdr:rowOff>57150</xdr:rowOff>
    </xdr:from>
    <xdr:to>
      <xdr:col>0</xdr:col>
      <xdr:colOff>1495425</xdr:colOff>
      <xdr:row>15</xdr:row>
      <xdr:rowOff>466725</xdr:rowOff>
    </xdr:to>
    <xdr:pic>
      <xdr:nvPicPr>
        <xdr:cNvPr id="1368809" name="Рисунок 21" descr="DCT-2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0576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28575</xdr:rowOff>
    </xdr:from>
    <xdr:to>
      <xdr:col>0</xdr:col>
      <xdr:colOff>1495425</xdr:colOff>
      <xdr:row>4</xdr:row>
      <xdr:rowOff>447675</xdr:rowOff>
    </xdr:to>
    <xdr:pic>
      <xdr:nvPicPr>
        <xdr:cNvPr id="1429184" name="Рисунок 3" descr="JW-1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14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66675</xdr:rowOff>
    </xdr:from>
    <xdr:to>
      <xdr:col>0</xdr:col>
      <xdr:colOff>1504950</xdr:colOff>
      <xdr:row>7</xdr:row>
      <xdr:rowOff>476250</xdr:rowOff>
    </xdr:to>
    <xdr:pic>
      <xdr:nvPicPr>
        <xdr:cNvPr id="1429185" name="Рисунок 4" descr="JW-1-200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4669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</xdr:row>
      <xdr:rowOff>19050</xdr:rowOff>
    </xdr:from>
    <xdr:to>
      <xdr:col>0</xdr:col>
      <xdr:colOff>1495425</xdr:colOff>
      <xdr:row>15</xdr:row>
      <xdr:rowOff>685800</xdr:rowOff>
    </xdr:to>
    <xdr:pic>
      <xdr:nvPicPr>
        <xdr:cNvPr id="1429186" name="Рисунок 7" descr="JW-1C-20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810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16</xdr:row>
      <xdr:rowOff>66675</xdr:rowOff>
    </xdr:from>
    <xdr:to>
      <xdr:col>0</xdr:col>
      <xdr:colOff>1504950</xdr:colOff>
      <xdr:row>17</xdr:row>
      <xdr:rowOff>733425</xdr:rowOff>
    </xdr:to>
    <xdr:pic>
      <xdr:nvPicPr>
        <xdr:cNvPr id="1429187" name="Рисунок 8" descr="JW-1C-10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3818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</xdr:row>
      <xdr:rowOff>57150</xdr:rowOff>
    </xdr:from>
    <xdr:to>
      <xdr:col>0</xdr:col>
      <xdr:colOff>1495425</xdr:colOff>
      <xdr:row>26</xdr:row>
      <xdr:rowOff>342900</xdr:rowOff>
    </xdr:to>
    <xdr:pic>
      <xdr:nvPicPr>
        <xdr:cNvPr id="1429188" name="Рисунок 22" descr="C:\Users\Denis\Desktop\Картинки для сайта\Acom\AC-100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013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7</xdr:row>
      <xdr:rowOff>57150</xdr:rowOff>
    </xdr:from>
    <xdr:to>
      <xdr:col>0</xdr:col>
      <xdr:colOff>1485900</xdr:colOff>
      <xdr:row>7</xdr:row>
      <xdr:rowOff>1485900</xdr:rowOff>
    </xdr:to>
    <xdr:pic>
      <xdr:nvPicPr>
        <xdr:cNvPr id="1421124" name="Рисунок 20" descr="ED224S-R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76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11</xdr:row>
      <xdr:rowOff>38100</xdr:rowOff>
    </xdr:from>
    <xdr:to>
      <xdr:col>0</xdr:col>
      <xdr:colOff>1504950</xdr:colOff>
      <xdr:row>12</xdr:row>
      <xdr:rowOff>704850</xdr:rowOff>
    </xdr:to>
    <xdr:pic>
      <xdr:nvPicPr>
        <xdr:cNvPr id="1421125" name="Рисунок 21" descr="ED423S-RC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391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13</xdr:row>
      <xdr:rowOff>38100</xdr:rowOff>
    </xdr:from>
    <xdr:to>
      <xdr:col>0</xdr:col>
      <xdr:colOff>1504950</xdr:colOff>
      <xdr:row>14</xdr:row>
      <xdr:rowOff>704850</xdr:rowOff>
    </xdr:to>
    <xdr:pic>
      <xdr:nvPicPr>
        <xdr:cNvPr id="1421126" name="Рисунок 22" descr="ED3202S-RCE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915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</xdr:row>
      <xdr:rowOff>57150</xdr:rowOff>
    </xdr:from>
    <xdr:to>
      <xdr:col>0</xdr:col>
      <xdr:colOff>1495425</xdr:colOff>
      <xdr:row>2</xdr:row>
      <xdr:rowOff>1485900</xdr:rowOff>
    </xdr:to>
    <xdr:pic>
      <xdr:nvPicPr>
        <xdr:cNvPr id="1421127" name="Рисунок 26" descr="MA-3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191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</xdr:row>
      <xdr:rowOff>57150</xdr:rowOff>
    </xdr:from>
    <xdr:to>
      <xdr:col>0</xdr:col>
      <xdr:colOff>1504950</xdr:colOff>
      <xdr:row>3</xdr:row>
      <xdr:rowOff>1485900</xdr:rowOff>
    </xdr:to>
    <xdr:pic>
      <xdr:nvPicPr>
        <xdr:cNvPr id="1421128" name="Рисунок 27" descr="MA-15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57150</xdr:rowOff>
    </xdr:from>
    <xdr:to>
      <xdr:col>0</xdr:col>
      <xdr:colOff>1495425</xdr:colOff>
      <xdr:row>5</xdr:row>
      <xdr:rowOff>342900</xdr:rowOff>
    </xdr:to>
    <xdr:pic>
      <xdr:nvPicPr>
        <xdr:cNvPr id="2" name="Рисунок 5" descr="MS-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2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68</xdr:row>
      <xdr:rowOff>28575</xdr:rowOff>
    </xdr:from>
    <xdr:to>
      <xdr:col>0</xdr:col>
      <xdr:colOff>1495425</xdr:colOff>
      <xdr:row>71</xdr:row>
      <xdr:rowOff>314325</xdr:rowOff>
    </xdr:to>
    <xdr:pic>
      <xdr:nvPicPr>
        <xdr:cNvPr id="3" name="Рисунок 26" descr="DL-1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50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72</xdr:row>
      <xdr:rowOff>38100</xdr:rowOff>
    </xdr:from>
    <xdr:to>
      <xdr:col>0</xdr:col>
      <xdr:colOff>1495425</xdr:colOff>
      <xdr:row>75</xdr:row>
      <xdr:rowOff>323850</xdr:rowOff>
    </xdr:to>
    <xdr:pic>
      <xdr:nvPicPr>
        <xdr:cNvPr id="4" name="Рисунок 27" descr="DL-120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1843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79</xdr:row>
      <xdr:rowOff>114300</xdr:rowOff>
    </xdr:from>
    <xdr:to>
      <xdr:col>0</xdr:col>
      <xdr:colOff>1495425</xdr:colOff>
      <xdr:row>82</xdr:row>
      <xdr:rowOff>28575</xdr:rowOff>
    </xdr:to>
    <xdr:pic>
      <xdr:nvPicPr>
        <xdr:cNvPr id="5" name="Рисунок 30" descr="C:\Users\Denis\Desktop\Картинки для сайта\AND\DL(130)WPs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9180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82</xdr:row>
      <xdr:rowOff>0</xdr:rowOff>
    </xdr:from>
    <xdr:to>
      <xdr:col>0</xdr:col>
      <xdr:colOff>1495425</xdr:colOff>
      <xdr:row>84</xdr:row>
      <xdr:rowOff>428625</xdr:rowOff>
    </xdr:to>
    <xdr:pic>
      <xdr:nvPicPr>
        <xdr:cNvPr id="6" name="Рисунок 31" descr="C:\Users\Denis\Desktop\Картинки для сайта\AND\DL(150)WPs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820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89</xdr:row>
      <xdr:rowOff>103709</xdr:rowOff>
    </xdr:from>
    <xdr:to>
      <xdr:col>0</xdr:col>
      <xdr:colOff>1495425</xdr:colOff>
      <xdr:row>94</xdr:row>
      <xdr:rowOff>151334</xdr:rowOff>
    </xdr:to>
    <xdr:pic>
      <xdr:nvPicPr>
        <xdr:cNvPr id="7" name="Рисунок 34" descr="DX-300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346084"/>
          <a:ext cx="1428750" cy="1428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99</xdr:row>
      <xdr:rowOff>114300</xdr:rowOff>
    </xdr:from>
    <xdr:to>
      <xdr:col>0</xdr:col>
      <xdr:colOff>1495425</xdr:colOff>
      <xdr:row>104</xdr:row>
      <xdr:rowOff>161924</xdr:rowOff>
    </xdr:to>
    <xdr:pic>
      <xdr:nvPicPr>
        <xdr:cNvPr id="8" name="Рисунок 36" descr="C:\Users\Denis\Desktop\Картинки для сайта\AND\DX(130)WPs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4237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108</xdr:row>
      <xdr:rowOff>47625</xdr:rowOff>
    </xdr:from>
    <xdr:to>
      <xdr:col>0</xdr:col>
      <xdr:colOff>1495425</xdr:colOff>
      <xdr:row>112</xdr:row>
      <xdr:rowOff>209550</xdr:rowOff>
    </xdr:to>
    <xdr:pic>
      <xdr:nvPicPr>
        <xdr:cNvPr id="9" name="Рисунок 39" descr="GX-20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01478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113</xdr:row>
      <xdr:rowOff>114300</xdr:rowOff>
    </xdr:from>
    <xdr:to>
      <xdr:col>0</xdr:col>
      <xdr:colOff>1504950</xdr:colOff>
      <xdr:row>117</xdr:row>
      <xdr:rowOff>276225</xdr:rowOff>
    </xdr:to>
    <xdr:pic>
      <xdr:nvPicPr>
        <xdr:cNvPr id="10" name="Рисунок 40" descr="GX-600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17861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121</xdr:row>
      <xdr:rowOff>76200</xdr:rowOff>
    </xdr:from>
    <xdr:to>
      <xdr:col>0</xdr:col>
      <xdr:colOff>1495425</xdr:colOff>
      <xdr:row>127</xdr:row>
      <xdr:rowOff>9525</xdr:rowOff>
    </xdr:to>
    <xdr:pic>
      <xdr:nvPicPr>
        <xdr:cNvPr id="11" name="Рисунок 43" descr="GF-20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44531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127</xdr:row>
      <xdr:rowOff>228600</xdr:rowOff>
    </xdr:from>
    <xdr:to>
      <xdr:col>0</xdr:col>
      <xdr:colOff>1495425</xdr:colOff>
      <xdr:row>133</xdr:row>
      <xdr:rowOff>171450</xdr:rowOff>
    </xdr:to>
    <xdr:pic>
      <xdr:nvPicPr>
        <xdr:cNvPr id="12" name="Рисунок 44" descr="GF-2000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60914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188</xdr:row>
      <xdr:rowOff>133350</xdr:rowOff>
    </xdr:from>
    <xdr:to>
      <xdr:col>0</xdr:col>
      <xdr:colOff>1495425</xdr:colOff>
      <xdr:row>194</xdr:row>
      <xdr:rowOff>76200</xdr:rowOff>
    </xdr:to>
    <xdr:pic>
      <xdr:nvPicPr>
        <xdr:cNvPr id="13" name="Рисунок 27" descr="NP-1000S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9221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198</xdr:row>
      <xdr:rowOff>19050</xdr:rowOff>
    </xdr:from>
    <xdr:to>
      <xdr:col>0</xdr:col>
      <xdr:colOff>1495425</xdr:colOff>
      <xdr:row>203</xdr:row>
      <xdr:rowOff>209549</xdr:rowOff>
    </xdr:to>
    <xdr:pic>
      <xdr:nvPicPr>
        <xdr:cNvPr id="14" name="Рисунок 29" descr="SK-1000WP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59320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207</xdr:row>
      <xdr:rowOff>57150</xdr:rowOff>
    </xdr:from>
    <xdr:to>
      <xdr:col>0</xdr:col>
      <xdr:colOff>1495425</xdr:colOff>
      <xdr:row>208</xdr:row>
      <xdr:rowOff>723900</xdr:rowOff>
    </xdr:to>
    <xdr:pic>
      <xdr:nvPicPr>
        <xdr:cNvPr id="15" name="Рисунок 31" descr="HL-200i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88467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212</xdr:row>
      <xdr:rowOff>57150</xdr:rowOff>
    </xdr:from>
    <xdr:to>
      <xdr:col>0</xdr:col>
      <xdr:colOff>1495425</xdr:colOff>
      <xdr:row>212</xdr:row>
      <xdr:rowOff>1485900</xdr:rowOff>
    </xdr:to>
    <xdr:pic>
      <xdr:nvPicPr>
        <xdr:cNvPr id="16" name="Рисунок 33" descr="HJ-150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5041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216</xdr:row>
      <xdr:rowOff>57150</xdr:rowOff>
    </xdr:from>
    <xdr:to>
      <xdr:col>0</xdr:col>
      <xdr:colOff>1495425</xdr:colOff>
      <xdr:row>219</xdr:row>
      <xdr:rowOff>342900</xdr:rowOff>
    </xdr:to>
    <xdr:pic>
      <xdr:nvPicPr>
        <xdr:cNvPr id="17" name="Рисунок 35" descr="HL-3000WP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18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223</xdr:row>
      <xdr:rowOff>219075</xdr:rowOff>
    </xdr:from>
    <xdr:to>
      <xdr:col>0</xdr:col>
      <xdr:colOff>1495425</xdr:colOff>
      <xdr:row>227</xdr:row>
      <xdr:rowOff>123825</xdr:rowOff>
    </xdr:to>
    <xdr:pic>
      <xdr:nvPicPr>
        <xdr:cNvPr id="18" name="Рисунок 37" descr="HT-500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495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232</xdr:row>
      <xdr:rowOff>85725</xdr:rowOff>
    </xdr:from>
    <xdr:to>
      <xdr:col>0</xdr:col>
      <xdr:colOff>1495425</xdr:colOff>
      <xdr:row>238</xdr:row>
      <xdr:rowOff>28575</xdr:rowOff>
    </xdr:to>
    <xdr:pic>
      <xdr:nvPicPr>
        <xdr:cNvPr id="19" name="Рисунок 39" descr="FC-1000i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06481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243</xdr:row>
      <xdr:rowOff>57150</xdr:rowOff>
    </xdr:from>
    <xdr:to>
      <xdr:col>0</xdr:col>
      <xdr:colOff>1504950</xdr:colOff>
      <xdr:row>245</xdr:row>
      <xdr:rowOff>476250</xdr:rowOff>
    </xdr:to>
    <xdr:pic>
      <xdr:nvPicPr>
        <xdr:cNvPr id="20" name="Рисунок 41" descr="FS-15Ki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37342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249</xdr:row>
      <xdr:rowOff>66675</xdr:rowOff>
    </xdr:from>
    <xdr:to>
      <xdr:col>0</xdr:col>
      <xdr:colOff>1495425</xdr:colOff>
      <xdr:row>252</xdr:row>
      <xdr:rowOff>352425</xdr:rowOff>
    </xdr:to>
    <xdr:pic>
      <xdr:nvPicPr>
        <xdr:cNvPr id="21" name="Рисунок 43" descr="FG-150KAL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63917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253</xdr:row>
      <xdr:rowOff>66675</xdr:rowOff>
    </xdr:from>
    <xdr:to>
      <xdr:col>0</xdr:col>
      <xdr:colOff>1504950</xdr:colOff>
      <xdr:row>256</xdr:row>
      <xdr:rowOff>352425</xdr:rowOff>
    </xdr:to>
    <xdr:pic>
      <xdr:nvPicPr>
        <xdr:cNvPr id="22" name="Рисунок 44" descr="FG-150KBM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79157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260</xdr:row>
      <xdr:rowOff>133350</xdr:rowOff>
    </xdr:from>
    <xdr:to>
      <xdr:col>0</xdr:col>
      <xdr:colOff>1495425</xdr:colOff>
      <xdr:row>266</xdr:row>
      <xdr:rowOff>76200</xdr:rowOff>
    </xdr:to>
    <xdr:pic>
      <xdr:nvPicPr>
        <xdr:cNvPr id="23" name="Рисунок 47" descr="HV-60KVWP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6399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270</xdr:row>
      <xdr:rowOff>19050</xdr:rowOff>
    </xdr:from>
    <xdr:to>
      <xdr:col>0</xdr:col>
      <xdr:colOff>1495425</xdr:colOff>
      <xdr:row>275</xdr:row>
      <xdr:rowOff>209551</xdr:rowOff>
    </xdr:to>
    <xdr:pic>
      <xdr:nvPicPr>
        <xdr:cNvPr id="24" name="Рисунок 49" descr="HV-15KGL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3649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279</xdr:row>
      <xdr:rowOff>28575</xdr:rowOff>
    </xdr:from>
    <xdr:to>
      <xdr:col>0</xdr:col>
      <xdr:colOff>1495425</xdr:colOff>
      <xdr:row>284</xdr:row>
      <xdr:rowOff>209550</xdr:rowOff>
    </xdr:to>
    <xdr:pic>
      <xdr:nvPicPr>
        <xdr:cNvPr id="25" name="Рисунок 51" descr="HV-15KGL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65358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288</xdr:row>
      <xdr:rowOff>57150</xdr:rowOff>
    </xdr:from>
    <xdr:to>
      <xdr:col>0</xdr:col>
      <xdr:colOff>1495425</xdr:colOff>
      <xdr:row>290</xdr:row>
      <xdr:rowOff>466725</xdr:rowOff>
    </xdr:to>
    <xdr:pic>
      <xdr:nvPicPr>
        <xdr:cNvPr id="26" name="Рисунок 53" descr="C:\Users\Denis\Desktop\Картинки для сайта\AND\SW.jp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94410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294</xdr:row>
      <xdr:rowOff>85725</xdr:rowOff>
    </xdr:from>
    <xdr:to>
      <xdr:col>0</xdr:col>
      <xdr:colOff>1495425</xdr:colOff>
      <xdr:row>298</xdr:row>
      <xdr:rowOff>257175</xdr:rowOff>
    </xdr:to>
    <xdr:pic>
      <xdr:nvPicPr>
        <xdr:cNvPr id="27" name="Рисунок 55" descr="C:\Users\Denis\Desktop\Картинки для сайта\AND\EM.jp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21175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60</xdr:row>
      <xdr:rowOff>141814</xdr:rowOff>
    </xdr:from>
    <xdr:to>
      <xdr:col>0</xdr:col>
      <xdr:colOff>1495425</xdr:colOff>
      <xdr:row>64</xdr:row>
      <xdr:rowOff>215897</xdr:rowOff>
    </xdr:to>
    <xdr:pic>
      <xdr:nvPicPr>
        <xdr:cNvPr id="28" name="Рисунок 39" descr="C:\Users\Denis\Desktop\Картинки для сайта\AND\MCs.jp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715814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173</xdr:row>
      <xdr:rowOff>57150</xdr:rowOff>
    </xdr:from>
    <xdr:to>
      <xdr:col>0</xdr:col>
      <xdr:colOff>1504950</xdr:colOff>
      <xdr:row>179</xdr:row>
      <xdr:rowOff>19050</xdr:rowOff>
    </xdr:to>
    <xdr:pic>
      <xdr:nvPicPr>
        <xdr:cNvPr id="29" name="Рисунок 40" descr="C:\Users\Denis\Desktop\Картинки для сайта\AND\EJ\EJ-(110)s.jpg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848350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178</xdr:row>
      <xdr:rowOff>209550</xdr:rowOff>
    </xdr:from>
    <xdr:to>
      <xdr:col>0</xdr:col>
      <xdr:colOff>1495425</xdr:colOff>
      <xdr:row>184</xdr:row>
      <xdr:rowOff>180975</xdr:rowOff>
    </xdr:to>
    <xdr:pic>
      <xdr:nvPicPr>
        <xdr:cNvPr id="30" name="Рисунок 41" descr="C:\Users\Denis\Desktop\Картинки для сайта\AND\EJ\EJ-(k)s.jp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987415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</xdr:row>
      <xdr:rowOff>85725</xdr:rowOff>
    </xdr:from>
    <xdr:to>
      <xdr:col>0</xdr:col>
      <xdr:colOff>1495425</xdr:colOff>
      <xdr:row>13</xdr:row>
      <xdr:rowOff>266700</xdr:rowOff>
    </xdr:to>
    <xdr:pic>
      <xdr:nvPicPr>
        <xdr:cNvPr id="31" name="Рисунок 7" descr="SV-10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2902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17</xdr:row>
      <xdr:rowOff>28575</xdr:rowOff>
    </xdr:from>
    <xdr:to>
      <xdr:col>0</xdr:col>
      <xdr:colOff>1504950</xdr:colOff>
      <xdr:row>21</xdr:row>
      <xdr:rowOff>257175</xdr:rowOff>
    </xdr:to>
    <xdr:pic>
      <xdr:nvPicPr>
        <xdr:cNvPr id="32" name="Рисунок 9" descr="BM-22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276975"/>
          <a:ext cx="142875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25</xdr:row>
      <xdr:rowOff>262459</xdr:rowOff>
    </xdr:from>
    <xdr:to>
      <xdr:col>0</xdr:col>
      <xdr:colOff>1495425</xdr:colOff>
      <xdr:row>30</xdr:row>
      <xdr:rowOff>63492</xdr:rowOff>
    </xdr:to>
    <xdr:pic>
      <xdr:nvPicPr>
        <xdr:cNvPr id="33" name="Рисунок 9" descr="BM-22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73084"/>
          <a:ext cx="1428750" cy="1372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34</xdr:row>
      <xdr:rowOff>57150</xdr:rowOff>
    </xdr:from>
    <xdr:to>
      <xdr:col>0</xdr:col>
      <xdr:colOff>1495425</xdr:colOff>
      <xdr:row>37</xdr:row>
      <xdr:rowOff>342900</xdr:rowOff>
    </xdr:to>
    <xdr:pic>
      <xdr:nvPicPr>
        <xdr:cNvPr id="34" name="Рисунок 12" descr="GR-202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8872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41</xdr:row>
      <xdr:rowOff>85725</xdr:rowOff>
    </xdr:from>
    <xdr:to>
      <xdr:col>0</xdr:col>
      <xdr:colOff>1495425</xdr:colOff>
      <xdr:row>45</xdr:row>
      <xdr:rowOff>266700</xdr:rowOff>
    </xdr:to>
    <xdr:pic>
      <xdr:nvPicPr>
        <xdr:cNvPr id="35" name="Рисунок 14" descr="GH-202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57325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50</xdr:row>
      <xdr:rowOff>9525</xdr:rowOff>
    </xdr:from>
    <xdr:to>
      <xdr:col>0</xdr:col>
      <xdr:colOff>1495425</xdr:colOff>
      <xdr:row>55</xdr:row>
      <xdr:rowOff>180976</xdr:rowOff>
    </xdr:to>
    <xdr:pic>
      <xdr:nvPicPr>
        <xdr:cNvPr id="37" name="Рисунок 24" descr="HR-100A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07275"/>
          <a:ext cx="1428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137</xdr:row>
      <xdr:rowOff>76200</xdr:rowOff>
    </xdr:from>
    <xdr:to>
      <xdr:col>0</xdr:col>
      <xdr:colOff>1495425</xdr:colOff>
      <xdr:row>142</xdr:row>
      <xdr:rowOff>228601</xdr:rowOff>
    </xdr:to>
    <xdr:pic>
      <xdr:nvPicPr>
        <xdr:cNvPr id="38" name="Рисунок 20" descr="GP-60KS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806100"/>
          <a:ext cx="14287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144</xdr:row>
      <xdr:rowOff>200025</xdr:rowOff>
    </xdr:from>
    <xdr:to>
      <xdr:col>0</xdr:col>
      <xdr:colOff>1504950</xdr:colOff>
      <xdr:row>150</xdr:row>
      <xdr:rowOff>114300</xdr:rowOff>
    </xdr:to>
    <xdr:pic>
      <xdr:nvPicPr>
        <xdr:cNvPr id="39" name="Рисунок 21" descr="GP-60K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663475"/>
          <a:ext cx="14287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155</xdr:row>
      <xdr:rowOff>9525</xdr:rowOff>
    </xdr:from>
    <xdr:to>
      <xdr:col>0</xdr:col>
      <xdr:colOff>1495425</xdr:colOff>
      <xdr:row>160</xdr:row>
      <xdr:rowOff>180975</xdr:rowOff>
    </xdr:to>
    <xdr:pic>
      <xdr:nvPicPr>
        <xdr:cNvPr id="40" name="Рисунок 24" descr="EK-120i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3587650"/>
          <a:ext cx="1428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163</xdr:row>
      <xdr:rowOff>76200</xdr:rowOff>
    </xdr:from>
    <xdr:to>
      <xdr:col>0</xdr:col>
      <xdr:colOff>1495425</xdr:colOff>
      <xdr:row>168</xdr:row>
      <xdr:rowOff>228601</xdr:rowOff>
    </xdr:to>
    <xdr:pic>
      <xdr:nvPicPr>
        <xdr:cNvPr id="41" name="Рисунок 25" descr="EK-600i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5635525"/>
          <a:ext cx="14287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74081</xdr:colOff>
      <xdr:row>37</xdr:row>
      <xdr:rowOff>243418</xdr:rowOff>
    </xdr:from>
    <xdr:to>
      <xdr:col>0</xdr:col>
      <xdr:colOff>1502831</xdr:colOff>
      <xdr:row>42</xdr:row>
      <xdr:rowOff>84668</xdr:rowOff>
    </xdr:to>
    <xdr:pic>
      <xdr:nvPicPr>
        <xdr:cNvPr id="17" name="Рисунок 16" descr="D:\Картинки для сайта\Картинки\Госметр\VLA_s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887941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</xdr:row>
      <xdr:rowOff>52915</xdr:rowOff>
    </xdr:from>
    <xdr:to>
      <xdr:col>0</xdr:col>
      <xdr:colOff>1492248</xdr:colOff>
      <xdr:row>2</xdr:row>
      <xdr:rowOff>1481665</xdr:rowOff>
    </xdr:to>
    <xdr:pic>
      <xdr:nvPicPr>
        <xdr:cNvPr id="18" name="Рисунок 17" descr="D:\Картинки для сайта\Картинки\Госметр\AVG-60_sm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4191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24</xdr:row>
      <xdr:rowOff>52915</xdr:rowOff>
    </xdr:from>
    <xdr:to>
      <xdr:col>0</xdr:col>
      <xdr:colOff>1492248</xdr:colOff>
      <xdr:row>25</xdr:row>
      <xdr:rowOff>719665</xdr:rowOff>
    </xdr:to>
    <xdr:pic>
      <xdr:nvPicPr>
        <xdr:cNvPr id="19" name="Рисунок 18" descr="D:\Картинки для сайта\Картинки\Госметр\VL-M_s.jp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4085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8</xdr:row>
      <xdr:rowOff>137586</xdr:rowOff>
    </xdr:from>
    <xdr:to>
      <xdr:col>0</xdr:col>
      <xdr:colOff>1492248</xdr:colOff>
      <xdr:row>12</xdr:row>
      <xdr:rowOff>211669</xdr:rowOff>
    </xdr:to>
    <xdr:pic>
      <xdr:nvPicPr>
        <xdr:cNvPr id="22" name="Рисунок 21" descr="D:\Картинки для сайта\Картинки\Госметр\VLA-M_s.jpg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416983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56</xdr:row>
      <xdr:rowOff>254002</xdr:rowOff>
    </xdr:from>
    <xdr:to>
      <xdr:col>0</xdr:col>
      <xdr:colOff>1492248</xdr:colOff>
      <xdr:row>60</xdr:row>
      <xdr:rowOff>158752</xdr:rowOff>
    </xdr:to>
    <xdr:pic>
      <xdr:nvPicPr>
        <xdr:cNvPr id="23" name="Рисунок 22" descr="D:\Картинки для сайта\Картинки\Госметр\VL_s.jpg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940983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63</xdr:row>
      <xdr:rowOff>63494</xdr:rowOff>
    </xdr:from>
    <xdr:to>
      <xdr:col>0</xdr:col>
      <xdr:colOff>1492248</xdr:colOff>
      <xdr:row>66</xdr:row>
      <xdr:rowOff>349244</xdr:rowOff>
    </xdr:to>
    <xdr:pic>
      <xdr:nvPicPr>
        <xdr:cNvPr id="24" name="Рисунок 23" descr="D:\Картинки для сайта\Картинки\Госметр\VL-M_s.jp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1886327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82</xdr:row>
      <xdr:rowOff>7</xdr:rowOff>
    </xdr:from>
    <xdr:to>
      <xdr:col>0</xdr:col>
      <xdr:colOff>1502831</xdr:colOff>
      <xdr:row>85</xdr:row>
      <xdr:rowOff>285757</xdr:rowOff>
    </xdr:to>
    <xdr:pic>
      <xdr:nvPicPr>
        <xdr:cNvPr id="25" name="Рисунок 24" descr="D:\Картинки для сайта\Картинки\Госметр\VLTE_s(kr).jpg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27813007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63499</xdr:colOff>
      <xdr:row>86</xdr:row>
      <xdr:rowOff>268817</xdr:rowOff>
    </xdr:from>
    <xdr:to>
      <xdr:col>0</xdr:col>
      <xdr:colOff>1492249</xdr:colOff>
      <xdr:row>90</xdr:row>
      <xdr:rowOff>173567</xdr:rowOff>
    </xdr:to>
    <xdr:pic>
      <xdr:nvPicPr>
        <xdr:cNvPr id="26" name="Рисунок 25" descr="D:\Картинки для сайта\Картинки\Госметр\VLTE_s_510.jpg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29605817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71966</xdr:colOff>
      <xdr:row>91</xdr:row>
      <xdr:rowOff>93139</xdr:rowOff>
    </xdr:from>
    <xdr:to>
      <xdr:col>0</xdr:col>
      <xdr:colOff>1500716</xdr:colOff>
      <xdr:row>94</xdr:row>
      <xdr:rowOff>378889</xdr:rowOff>
    </xdr:to>
    <xdr:pic>
      <xdr:nvPicPr>
        <xdr:cNvPr id="27" name="Рисунок 26" descr="D:\Картинки для сайта\Картинки\Госметр\VLTE_s.jpg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" y="3133513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103</xdr:row>
      <xdr:rowOff>211676</xdr:rowOff>
    </xdr:from>
    <xdr:to>
      <xdr:col>0</xdr:col>
      <xdr:colOff>1502831</xdr:colOff>
      <xdr:row>107</xdr:row>
      <xdr:rowOff>116426</xdr:rowOff>
    </xdr:to>
    <xdr:pic>
      <xdr:nvPicPr>
        <xdr:cNvPr id="28" name="Рисунок 27" descr="D:\Картинки для сайта\Картинки\Госметр\VLTE_s(kr).jpg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3546475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84664</xdr:colOff>
      <xdr:row>123</xdr:row>
      <xdr:rowOff>52915</xdr:rowOff>
    </xdr:from>
    <xdr:to>
      <xdr:col>0</xdr:col>
      <xdr:colOff>1513414</xdr:colOff>
      <xdr:row>126</xdr:row>
      <xdr:rowOff>338665</xdr:rowOff>
    </xdr:to>
    <xdr:pic>
      <xdr:nvPicPr>
        <xdr:cNvPr id="29" name="Рисунок 28" descr="D:\Картинки для сайта\Картинки\Госметр\VLE_108-105_sm.jpg"/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396980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67736</xdr:colOff>
      <xdr:row>127</xdr:row>
      <xdr:rowOff>46567</xdr:rowOff>
    </xdr:from>
    <xdr:to>
      <xdr:col>0</xdr:col>
      <xdr:colOff>1496486</xdr:colOff>
      <xdr:row>130</xdr:row>
      <xdr:rowOff>332317</xdr:rowOff>
    </xdr:to>
    <xdr:pic>
      <xdr:nvPicPr>
        <xdr:cNvPr id="30" name="Рисунок 29" descr="D:\Картинки для сайта\Картинки\Госметр\VLE_822C_sm.jpg"/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6" y="41215734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71966</xdr:colOff>
      <xdr:row>131</xdr:row>
      <xdr:rowOff>29630</xdr:rowOff>
    </xdr:from>
    <xdr:to>
      <xdr:col>0</xdr:col>
      <xdr:colOff>1500716</xdr:colOff>
      <xdr:row>134</xdr:row>
      <xdr:rowOff>315380</xdr:rowOff>
    </xdr:to>
    <xdr:pic>
      <xdr:nvPicPr>
        <xdr:cNvPr id="31" name="Рисунок 30" descr="D:\Картинки для сайта\Картинки\Госметр\VLE_170-180_sm.jpg"/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" y="42722797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145</xdr:row>
      <xdr:rowOff>306920</xdr:rowOff>
    </xdr:from>
    <xdr:to>
      <xdr:col>0</xdr:col>
      <xdr:colOff>1502831</xdr:colOff>
      <xdr:row>150</xdr:row>
      <xdr:rowOff>148170</xdr:rowOff>
    </xdr:to>
    <xdr:pic>
      <xdr:nvPicPr>
        <xdr:cNvPr id="32" name="Рисунок 31" descr="D:\Картинки для сайта\Картинки\Госметр\VLTE_s_510.jpg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7360420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151</xdr:row>
      <xdr:rowOff>14816</xdr:rowOff>
    </xdr:from>
    <xdr:to>
      <xdr:col>0</xdr:col>
      <xdr:colOff>1502831</xdr:colOff>
      <xdr:row>155</xdr:row>
      <xdr:rowOff>173566</xdr:rowOff>
    </xdr:to>
    <xdr:pic>
      <xdr:nvPicPr>
        <xdr:cNvPr id="33" name="Рисунок 32" descr="D:\Картинки для сайта\Картинки\Госметр\VLTE_s.jpg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897331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176</xdr:row>
      <xdr:rowOff>52915</xdr:rowOff>
    </xdr:from>
    <xdr:to>
      <xdr:col>0</xdr:col>
      <xdr:colOff>1492248</xdr:colOff>
      <xdr:row>179</xdr:row>
      <xdr:rowOff>338665</xdr:rowOff>
    </xdr:to>
    <xdr:pic>
      <xdr:nvPicPr>
        <xdr:cNvPr id="34" name="Рисунок 33" descr="D:\Картинки для сайта\Картинки\Госметр\VP_s.jpg"/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56790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186</xdr:row>
      <xdr:rowOff>52915</xdr:rowOff>
    </xdr:from>
    <xdr:to>
      <xdr:col>0</xdr:col>
      <xdr:colOff>1502831</xdr:colOff>
      <xdr:row>188</xdr:row>
      <xdr:rowOff>465665</xdr:rowOff>
    </xdr:to>
    <xdr:pic>
      <xdr:nvPicPr>
        <xdr:cNvPr id="35" name="Рисунок 34" descr="D:\Картинки для сайта\Картинки\Госметр\VP_s.jpg"/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60176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164</xdr:row>
      <xdr:rowOff>74087</xdr:rowOff>
    </xdr:from>
    <xdr:to>
      <xdr:col>0</xdr:col>
      <xdr:colOff>1492248</xdr:colOff>
      <xdr:row>168</xdr:row>
      <xdr:rowOff>232837</xdr:rowOff>
    </xdr:to>
    <xdr:pic>
      <xdr:nvPicPr>
        <xdr:cNvPr id="36" name="Рисунок 35" descr="D:\Картинки для сайта\Картинки\Госметр\VP_s.jpg"/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53043670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107</xdr:row>
      <xdr:rowOff>211665</xdr:rowOff>
    </xdr:from>
    <xdr:to>
      <xdr:col>0</xdr:col>
      <xdr:colOff>1492248</xdr:colOff>
      <xdr:row>111</xdr:row>
      <xdr:rowOff>116415</xdr:rowOff>
    </xdr:to>
    <xdr:pic>
      <xdr:nvPicPr>
        <xdr:cNvPr id="20" name="Рисунок 19" descr="D:\Картинки для сайта\Картинки\Госметр\VLTE_s_510.jpg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369887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63499</xdr:colOff>
      <xdr:row>111</xdr:row>
      <xdr:rowOff>275163</xdr:rowOff>
    </xdr:from>
    <xdr:to>
      <xdr:col>0</xdr:col>
      <xdr:colOff>1492249</xdr:colOff>
      <xdr:row>115</xdr:row>
      <xdr:rowOff>179913</xdr:rowOff>
    </xdr:to>
    <xdr:pic>
      <xdr:nvPicPr>
        <xdr:cNvPr id="21" name="Рисунок 20" descr="D:\Картинки для сайта\Картинки\Госметр\VLTE_s.jpg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3857624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2</xdr:row>
      <xdr:rowOff>42332</xdr:rowOff>
    </xdr:from>
    <xdr:to>
      <xdr:col>0</xdr:col>
      <xdr:colOff>1492248</xdr:colOff>
      <xdr:row>6</xdr:row>
      <xdr:rowOff>201082</xdr:rowOff>
    </xdr:to>
    <xdr:pic>
      <xdr:nvPicPr>
        <xdr:cNvPr id="40" name="Рисунок 39" descr="C:\Users\Денис\Desktop\Картинки\МАССА-К\BK_120_s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313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6</xdr:row>
      <xdr:rowOff>126956</xdr:rowOff>
    </xdr:from>
    <xdr:to>
      <xdr:col>0</xdr:col>
      <xdr:colOff>1492248</xdr:colOff>
      <xdr:row>10</xdr:row>
      <xdr:rowOff>285706</xdr:rowOff>
    </xdr:to>
    <xdr:pic>
      <xdr:nvPicPr>
        <xdr:cNvPr id="41" name="Рисунок 40" descr="C:\Users\Денис\Desktop\Картинки\МАССА-К\BK_136-162_s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28595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20</xdr:row>
      <xdr:rowOff>21120</xdr:rowOff>
    </xdr:from>
    <xdr:to>
      <xdr:col>0</xdr:col>
      <xdr:colOff>1492248</xdr:colOff>
      <xdr:row>25</xdr:row>
      <xdr:rowOff>232786</xdr:rowOff>
    </xdr:to>
    <xdr:pic>
      <xdr:nvPicPr>
        <xdr:cNvPr id="42" name="Рисунок 41" descr="C:\Users\Денис\Desktop\Картинки\МАССА-К\MK_A20_s.jp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8286703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30</xdr:row>
      <xdr:rowOff>21043</xdr:rowOff>
    </xdr:from>
    <xdr:to>
      <xdr:col>0</xdr:col>
      <xdr:colOff>1492248</xdr:colOff>
      <xdr:row>35</xdr:row>
      <xdr:rowOff>232710</xdr:rowOff>
    </xdr:to>
    <xdr:pic>
      <xdr:nvPicPr>
        <xdr:cNvPr id="43" name="Рисунок 42" descr="C:\Users\Денис\Desktop\Картинки\МАССА-К\MK_A11_s.jpg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0720793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51</xdr:row>
      <xdr:rowOff>52915</xdr:rowOff>
    </xdr:from>
    <xdr:to>
      <xdr:col>0</xdr:col>
      <xdr:colOff>1492248</xdr:colOff>
      <xdr:row>54</xdr:row>
      <xdr:rowOff>338665</xdr:rowOff>
    </xdr:to>
    <xdr:pic>
      <xdr:nvPicPr>
        <xdr:cNvPr id="44" name="Рисунок 43" descr="C:\Users\Денис\Desktop\Картинки\МАССА-К\MK_C21_s.jpg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61395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60</xdr:row>
      <xdr:rowOff>52915</xdr:rowOff>
    </xdr:from>
    <xdr:to>
      <xdr:col>0</xdr:col>
      <xdr:colOff>1492248</xdr:colOff>
      <xdr:row>63</xdr:row>
      <xdr:rowOff>338665</xdr:rowOff>
    </xdr:to>
    <xdr:pic>
      <xdr:nvPicPr>
        <xdr:cNvPr id="45" name="Рисунок 44" descr="C:\Users\Денис\Desktop\Картинки\МАССА-К\MK_AB11_s.jpg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9409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67</xdr:row>
      <xdr:rowOff>52915</xdr:rowOff>
    </xdr:from>
    <xdr:to>
      <xdr:col>0</xdr:col>
      <xdr:colOff>1502831</xdr:colOff>
      <xdr:row>70</xdr:row>
      <xdr:rowOff>338665</xdr:rowOff>
    </xdr:to>
    <xdr:pic>
      <xdr:nvPicPr>
        <xdr:cNvPr id="46" name="Рисунок 45" descr="C:\Users\Денис\Desktop\Картинки\МАССА-К\MK_AB20_s.jpg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220662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74</xdr:row>
      <xdr:rowOff>52915</xdr:rowOff>
    </xdr:from>
    <xdr:to>
      <xdr:col>0</xdr:col>
      <xdr:colOff>1492248</xdr:colOff>
      <xdr:row>76</xdr:row>
      <xdr:rowOff>465665</xdr:rowOff>
    </xdr:to>
    <xdr:pic>
      <xdr:nvPicPr>
        <xdr:cNvPr id="47" name="Рисунок 46" descr="C:\Users\Денис\Desktop\Картинки\МАССА-К\MK_T21_s.jpg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45956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80</xdr:row>
      <xdr:rowOff>52915</xdr:rowOff>
    </xdr:from>
    <xdr:to>
      <xdr:col>0</xdr:col>
      <xdr:colOff>1492248</xdr:colOff>
      <xdr:row>82</xdr:row>
      <xdr:rowOff>465665</xdr:rowOff>
    </xdr:to>
    <xdr:pic>
      <xdr:nvPicPr>
        <xdr:cNvPr id="48" name="Рисунок 47" descr="C:\Users\Денис\Desktop\Картинки\МАССА-К\MK_TH11_s.jpg"/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73790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86</xdr:row>
      <xdr:rowOff>42332</xdr:rowOff>
    </xdr:from>
    <xdr:to>
      <xdr:col>0</xdr:col>
      <xdr:colOff>1492248</xdr:colOff>
      <xdr:row>88</xdr:row>
      <xdr:rowOff>455082</xdr:rowOff>
    </xdr:to>
    <xdr:pic>
      <xdr:nvPicPr>
        <xdr:cNvPr id="49" name="Рисунок 48" descr="C:\Users\Денис\Desktop\Картинки\МАССА-К\MK_TB21_s.jpg"/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3065991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92</xdr:row>
      <xdr:rowOff>253992</xdr:rowOff>
    </xdr:from>
    <xdr:to>
      <xdr:col>0</xdr:col>
      <xdr:colOff>1502831</xdr:colOff>
      <xdr:row>97</xdr:row>
      <xdr:rowOff>95242</xdr:rowOff>
    </xdr:to>
    <xdr:pic>
      <xdr:nvPicPr>
        <xdr:cNvPr id="50" name="Рисунок 49" descr="C:\Users\Денис\Desktop\Картинки\МАССА-К\MK_TH21_s.jpg"/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3472390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101</xdr:row>
      <xdr:rowOff>52915</xdr:rowOff>
    </xdr:from>
    <xdr:to>
      <xdr:col>0</xdr:col>
      <xdr:colOff>1492248</xdr:colOff>
      <xdr:row>103</xdr:row>
      <xdr:rowOff>465665</xdr:rowOff>
    </xdr:to>
    <xdr:pic>
      <xdr:nvPicPr>
        <xdr:cNvPr id="51" name="Рисунок 50" descr="C:\Users\Денис\Desktop\Картинки\МАССА-К\MK_RA11_s.jpg"/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374332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107</xdr:row>
      <xdr:rowOff>52915</xdr:rowOff>
    </xdr:from>
    <xdr:to>
      <xdr:col>0</xdr:col>
      <xdr:colOff>1502831</xdr:colOff>
      <xdr:row>109</xdr:row>
      <xdr:rowOff>465665</xdr:rowOff>
    </xdr:to>
    <xdr:pic>
      <xdr:nvPicPr>
        <xdr:cNvPr id="52" name="Рисунок 51" descr="C:\Users\Денис\Desktop\Картинки\МАССА-К\MK_RC11_s.jpg"/>
        <xdr:cNvPicPr/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00896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113</xdr:row>
      <xdr:rowOff>52915</xdr:rowOff>
    </xdr:from>
    <xdr:to>
      <xdr:col>0</xdr:col>
      <xdr:colOff>1492248</xdr:colOff>
      <xdr:row>115</xdr:row>
      <xdr:rowOff>465665</xdr:rowOff>
    </xdr:to>
    <xdr:pic>
      <xdr:nvPicPr>
        <xdr:cNvPr id="53" name="Рисунок 52" descr="C:\Users\Денис\Desktop\Картинки\МАССА-К\MK_RP10_s.jpg"/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427460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119</xdr:row>
      <xdr:rowOff>52915</xdr:rowOff>
    </xdr:from>
    <xdr:to>
      <xdr:col>0</xdr:col>
      <xdr:colOff>1502831</xdr:colOff>
      <xdr:row>121</xdr:row>
      <xdr:rowOff>465665</xdr:rowOff>
    </xdr:to>
    <xdr:pic>
      <xdr:nvPicPr>
        <xdr:cNvPr id="54" name="Рисунок 53" descr="C:\Users\Денис\Desktop\Картинки\МАССА-К\MK_RP10-1_s.jpg"/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540249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125</xdr:row>
      <xdr:rowOff>52915</xdr:rowOff>
    </xdr:from>
    <xdr:to>
      <xdr:col>0</xdr:col>
      <xdr:colOff>1502831</xdr:colOff>
      <xdr:row>127</xdr:row>
      <xdr:rowOff>465665</xdr:rowOff>
    </xdr:to>
    <xdr:pic>
      <xdr:nvPicPr>
        <xdr:cNvPr id="55" name="Рисунок 54" descr="C:\Users\Денис\Desktop\Картинки\МАССА-К\MK_RP10-1_s.jpg"/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793191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131</xdr:row>
      <xdr:rowOff>52915</xdr:rowOff>
    </xdr:from>
    <xdr:to>
      <xdr:col>0</xdr:col>
      <xdr:colOff>1492248</xdr:colOff>
      <xdr:row>133</xdr:row>
      <xdr:rowOff>465665</xdr:rowOff>
    </xdr:to>
    <xdr:pic>
      <xdr:nvPicPr>
        <xdr:cNvPr id="56" name="Рисунок 55" descr="C:\Users\Денис\Desktop\Картинки\МАССА-К\MK_R2P10_s.jpg"/>
        <xdr:cNvPicPr/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507153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137</xdr:row>
      <xdr:rowOff>52915</xdr:rowOff>
    </xdr:from>
    <xdr:to>
      <xdr:col>0</xdr:col>
      <xdr:colOff>1502831</xdr:colOff>
      <xdr:row>139</xdr:row>
      <xdr:rowOff>465665</xdr:rowOff>
    </xdr:to>
    <xdr:pic>
      <xdr:nvPicPr>
        <xdr:cNvPr id="57" name="Рисунок 56" descr="C:\Users\Денис\Desktop\Картинки\МАССА-К\MK-RL10-1_s.jpg"/>
        <xdr:cNvPicPr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533717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74081</xdr:colOff>
      <xdr:row>144</xdr:row>
      <xdr:rowOff>52915</xdr:rowOff>
    </xdr:from>
    <xdr:ext cx="1428750" cy="1428750"/>
    <xdr:pic>
      <xdr:nvPicPr>
        <xdr:cNvPr id="58" name="Рисунок 57" descr="C:\Users\Денис\Desktop\Картинки\МАССА-К\MK-RL10-1_s.jpg"/>
        <xdr:cNvPicPr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533717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74081</xdr:colOff>
      <xdr:row>150</xdr:row>
      <xdr:rowOff>52915</xdr:rowOff>
    </xdr:from>
    <xdr:to>
      <xdr:col>0</xdr:col>
      <xdr:colOff>1502831</xdr:colOff>
      <xdr:row>152</xdr:row>
      <xdr:rowOff>465665</xdr:rowOff>
    </xdr:to>
    <xdr:pic>
      <xdr:nvPicPr>
        <xdr:cNvPr id="59" name="Рисунок 58" descr="C:\Users\Денис\Desktop\Картинки\МАССА-К\VPM_F_s.jpg"/>
        <xdr:cNvPicPr/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5880099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153</xdr:row>
      <xdr:rowOff>31701</xdr:rowOff>
    </xdr:from>
    <xdr:to>
      <xdr:col>0</xdr:col>
      <xdr:colOff>1492248</xdr:colOff>
      <xdr:row>155</xdr:row>
      <xdr:rowOff>444451</xdr:rowOff>
    </xdr:to>
    <xdr:pic>
      <xdr:nvPicPr>
        <xdr:cNvPr id="60" name="Рисунок 59" descr="C:\Users\Денис\Desktop\Картинки\МАССА-К\VPM_F-1_s.jpg"/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60303784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163</xdr:row>
      <xdr:rowOff>63498</xdr:rowOff>
    </xdr:from>
    <xdr:to>
      <xdr:col>0</xdr:col>
      <xdr:colOff>1492248</xdr:colOff>
      <xdr:row>165</xdr:row>
      <xdr:rowOff>476248</xdr:rowOff>
    </xdr:to>
    <xdr:pic>
      <xdr:nvPicPr>
        <xdr:cNvPr id="61" name="Рисунок 60" descr="C:\Users\Денис\Desktop\Картинки\МАССА-К\VPM_T_s.jpg"/>
        <xdr:cNvPicPr/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640926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166</xdr:row>
      <xdr:rowOff>42284</xdr:rowOff>
    </xdr:from>
    <xdr:to>
      <xdr:col>0</xdr:col>
      <xdr:colOff>1492248</xdr:colOff>
      <xdr:row>168</xdr:row>
      <xdr:rowOff>455034</xdr:rowOff>
    </xdr:to>
    <xdr:pic>
      <xdr:nvPicPr>
        <xdr:cNvPr id="62" name="Рисунок 61" descr="C:\Users\Денис\Desktop\Картинки\МАССА-К\VPM_T-1_s.jpg"/>
        <xdr:cNvPicPr/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65595451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176</xdr:row>
      <xdr:rowOff>52915</xdr:rowOff>
    </xdr:from>
    <xdr:to>
      <xdr:col>0</xdr:col>
      <xdr:colOff>1502831</xdr:colOff>
      <xdr:row>179</xdr:row>
      <xdr:rowOff>338665</xdr:rowOff>
    </xdr:to>
    <xdr:pic>
      <xdr:nvPicPr>
        <xdr:cNvPr id="63" name="Рисунок 62" descr="C:\Users\Денис\Desktop\Картинки\МАССА-К\ТВ\TB-S-A1_s.jpg"/>
        <xdr:cNvPicPr/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69236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184</xdr:row>
      <xdr:rowOff>42236</xdr:rowOff>
    </xdr:from>
    <xdr:to>
      <xdr:col>0</xdr:col>
      <xdr:colOff>1502831</xdr:colOff>
      <xdr:row>187</xdr:row>
      <xdr:rowOff>327986</xdr:rowOff>
    </xdr:to>
    <xdr:pic>
      <xdr:nvPicPr>
        <xdr:cNvPr id="64" name="Рисунок 63" descr="C:\Users\Денис\Desktop\Картинки\МАССА-К\ТВ\TB-S-A3_s.jpg"/>
        <xdr:cNvPicPr/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7227348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191</xdr:row>
      <xdr:rowOff>63498</xdr:rowOff>
    </xdr:from>
    <xdr:to>
      <xdr:col>0</xdr:col>
      <xdr:colOff>1492248</xdr:colOff>
      <xdr:row>194</xdr:row>
      <xdr:rowOff>349248</xdr:rowOff>
    </xdr:to>
    <xdr:pic>
      <xdr:nvPicPr>
        <xdr:cNvPr id="65" name="Рисунок 64" descr="C:\Users\Денис\Desktop\Картинки\МАССА-К\ТВ\TB-M-A1_s.jpg"/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74951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195</xdr:row>
      <xdr:rowOff>42284</xdr:rowOff>
    </xdr:from>
    <xdr:to>
      <xdr:col>0</xdr:col>
      <xdr:colOff>1502831</xdr:colOff>
      <xdr:row>198</xdr:row>
      <xdr:rowOff>328034</xdr:rowOff>
    </xdr:to>
    <xdr:pic>
      <xdr:nvPicPr>
        <xdr:cNvPr id="66" name="Рисунок 65" descr="C:\Users\Денис\Desktop\Картинки\МАССА-К\ТВ\TB-M-A3_s.jpg"/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76453951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202</xdr:row>
      <xdr:rowOff>63498</xdr:rowOff>
    </xdr:from>
    <xdr:to>
      <xdr:col>0</xdr:col>
      <xdr:colOff>1492248</xdr:colOff>
      <xdr:row>205</xdr:row>
      <xdr:rowOff>349248</xdr:rowOff>
    </xdr:to>
    <xdr:pic>
      <xdr:nvPicPr>
        <xdr:cNvPr id="72" name="Рисунок 71" descr="C:\Users\Денис\Desktop\Картинки\МАССА-К\ТВ\TB-S-T1_s.jpg"/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79131581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210</xdr:row>
      <xdr:rowOff>42236</xdr:rowOff>
    </xdr:from>
    <xdr:to>
      <xdr:col>0</xdr:col>
      <xdr:colOff>1492248</xdr:colOff>
      <xdr:row>213</xdr:row>
      <xdr:rowOff>327986</xdr:rowOff>
    </xdr:to>
    <xdr:pic>
      <xdr:nvPicPr>
        <xdr:cNvPr id="73" name="Рисунок 72" descr="C:\Users\Денис\Desktop\Картинки\МАССА-К\ТВ\TB-S-T3_s.jpg"/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8215831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217</xdr:row>
      <xdr:rowOff>52915</xdr:rowOff>
    </xdr:from>
    <xdr:to>
      <xdr:col>0</xdr:col>
      <xdr:colOff>1492248</xdr:colOff>
      <xdr:row>220</xdr:row>
      <xdr:rowOff>338665</xdr:rowOff>
    </xdr:to>
    <xdr:pic>
      <xdr:nvPicPr>
        <xdr:cNvPr id="76" name="Рисунок 75" descr="C:\Users\Денис\Desktop\Картинки\МАССА-К\ТВ\TB-M-T1_s.jpg"/>
        <xdr:cNvPicPr/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8482541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221</xdr:row>
      <xdr:rowOff>42284</xdr:rowOff>
    </xdr:from>
    <xdr:to>
      <xdr:col>0</xdr:col>
      <xdr:colOff>1502831</xdr:colOff>
      <xdr:row>224</xdr:row>
      <xdr:rowOff>328034</xdr:rowOff>
    </xdr:to>
    <xdr:pic>
      <xdr:nvPicPr>
        <xdr:cNvPr id="77" name="Рисунок 76" descr="C:\Users\Денис\Desktop\Картинки\МАССА-К\ТВ\TB-M-T3_s.jpg"/>
        <xdr:cNvPicPr/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86338784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228</xdr:row>
      <xdr:rowOff>52915</xdr:rowOff>
    </xdr:from>
    <xdr:to>
      <xdr:col>0</xdr:col>
      <xdr:colOff>1492248</xdr:colOff>
      <xdr:row>228</xdr:row>
      <xdr:rowOff>1481665</xdr:rowOff>
    </xdr:to>
    <xdr:pic>
      <xdr:nvPicPr>
        <xdr:cNvPr id="79" name="Рисунок 78" descr="C:\Users\Денис\Desktop\Картинки\МАССА-К\В1-15\V1-15_s.jpg"/>
        <xdr:cNvPicPr/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89005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232</xdr:row>
      <xdr:rowOff>52915</xdr:rowOff>
    </xdr:from>
    <xdr:to>
      <xdr:col>0</xdr:col>
      <xdr:colOff>1492248</xdr:colOff>
      <xdr:row>234</xdr:row>
      <xdr:rowOff>465665</xdr:rowOff>
    </xdr:to>
    <xdr:pic>
      <xdr:nvPicPr>
        <xdr:cNvPr id="80" name="Рисунок 79" descr="C:\Users\Денис\Desktop\Картинки\МАССА-К\ВЭМ\VEM-150-A3_s.jpg"/>
        <xdr:cNvPicPr/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16622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238</xdr:row>
      <xdr:rowOff>52915</xdr:rowOff>
    </xdr:from>
    <xdr:to>
      <xdr:col>0</xdr:col>
      <xdr:colOff>1492248</xdr:colOff>
      <xdr:row>242</xdr:row>
      <xdr:rowOff>211665</xdr:rowOff>
    </xdr:to>
    <xdr:pic>
      <xdr:nvPicPr>
        <xdr:cNvPr id="82" name="Рисунок 81" descr="C:\Users\Денис\Desktop\Картинки\МАССА-К\ЕК\EK-A_s.jpg"/>
        <xdr:cNvPicPr/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43186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243</xdr:row>
      <xdr:rowOff>105780</xdr:rowOff>
    </xdr:from>
    <xdr:to>
      <xdr:col>0</xdr:col>
      <xdr:colOff>1492248</xdr:colOff>
      <xdr:row>247</xdr:row>
      <xdr:rowOff>264530</xdr:rowOff>
    </xdr:to>
    <xdr:pic>
      <xdr:nvPicPr>
        <xdr:cNvPr id="83" name="Рисунок 82" descr="C:\Users\Денис\Desktop\Картинки\МАССА-К\ЕК\EK-CM-5_s.jpg"/>
        <xdr:cNvPicPr/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5959030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253</xdr:row>
      <xdr:rowOff>232811</xdr:rowOff>
    </xdr:from>
    <xdr:to>
      <xdr:col>0</xdr:col>
      <xdr:colOff>1492248</xdr:colOff>
      <xdr:row>259</xdr:row>
      <xdr:rowOff>201061</xdr:rowOff>
    </xdr:to>
    <xdr:pic>
      <xdr:nvPicPr>
        <xdr:cNvPr id="84" name="Рисунок 83" descr="C:\Users\Денис\Desktop\Картинки\МАССА-К\4D-PM\4D-PM_s.jpg"/>
        <xdr:cNvPicPr/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0074272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179</xdr:row>
      <xdr:rowOff>370369</xdr:rowOff>
    </xdr:from>
    <xdr:to>
      <xdr:col>0</xdr:col>
      <xdr:colOff>1492248</xdr:colOff>
      <xdr:row>183</xdr:row>
      <xdr:rowOff>275119</xdr:rowOff>
    </xdr:to>
    <xdr:pic>
      <xdr:nvPicPr>
        <xdr:cNvPr id="67" name="Рисунок 66" descr="C:\Users\Денис\Desktop\Картинки\МАССА-К\ТВ\TB-S-T2_s.jpg"/>
        <xdr:cNvPicPr/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7069661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206</xdr:row>
      <xdr:rowOff>10535</xdr:rowOff>
    </xdr:from>
    <xdr:to>
      <xdr:col>0</xdr:col>
      <xdr:colOff>1502831</xdr:colOff>
      <xdr:row>209</xdr:row>
      <xdr:rowOff>296285</xdr:rowOff>
    </xdr:to>
    <xdr:pic>
      <xdr:nvPicPr>
        <xdr:cNvPr id="68" name="Рисунок 67" descr="C:\Users\Денис\Desktop\Картинки\МАССА-К\ТВ\TB-S-T2_s.jpg"/>
        <xdr:cNvPicPr/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8060261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306908</xdr:colOff>
      <xdr:row>271</xdr:row>
      <xdr:rowOff>21167</xdr:rowOff>
    </xdr:from>
    <xdr:to>
      <xdr:col>0</xdr:col>
      <xdr:colOff>1021283</xdr:colOff>
      <xdr:row>271</xdr:row>
      <xdr:rowOff>735542</xdr:rowOff>
    </xdr:to>
    <xdr:pic>
      <xdr:nvPicPr>
        <xdr:cNvPr id="89" name="Рисунок 88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09050667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338656</xdr:colOff>
      <xdr:row>272</xdr:row>
      <xdr:rowOff>31749</xdr:rowOff>
    </xdr:from>
    <xdr:to>
      <xdr:col>0</xdr:col>
      <xdr:colOff>1053031</xdr:colOff>
      <xdr:row>272</xdr:row>
      <xdr:rowOff>746124</xdr:rowOff>
    </xdr:to>
    <xdr:pic>
      <xdr:nvPicPr>
        <xdr:cNvPr id="90" name="Рисунок 89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09823249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444486</xdr:colOff>
      <xdr:row>274</xdr:row>
      <xdr:rowOff>31749</xdr:rowOff>
    </xdr:from>
    <xdr:to>
      <xdr:col>0</xdr:col>
      <xdr:colOff>1111236</xdr:colOff>
      <xdr:row>274</xdr:row>
      <xdr:rowOff>746124</xdr:rowOff>
    </xdr:to>
    <xdr:pic>
      <xdr:nvPicPr>
        <xdr:cNvPr id="96" name="Рисунок 95" descr="C:\Users\Денис\Desktop\Картинки\МАССА-К\Терминалы\ST4Ds.jpg"/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10828666"/>
          <a:ext cx="66675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380988</xdr:colOff>
      <xdr:row>275</xdr:row>
      <xdr:rowOff>31749</xdr:rowOff>
    </xdr:from>
    <xdr:to>
      <xdr:col>0</xdr:col>
      <xdr:colOff>1121821</xdr:colOff>
      <xdr:row>275</xdr:row>
      <xdr:rowOff>746124</xdr:rowOff>
    </xdr:to>
    <xdr:pic>
      <xdr:nvPicPr>
        <xdr:cNvPr id="97" name="Рисунок 96" descr="C:\Users\Денис\Desktop\Картинки\МАССА-К\Терминалы\DI4D.W_s.jpg"/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11590666"/>
          <a:ext cx="740833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412737</xdr:colOff>
      <xdr:row>276</xdr:row>
      <xdr:rowOff>31749</xdr:rowOff>
    </xdr:from>
    <xdr:to>
      <xdr:col>0</xdr:col>
      <xdr:colOff>1121820</xdr:colOff>
      <xdr:row>276</xdr:row>
      <xdr:rowOff>740832</xdr:rowOff>
    </xdr:to>
    <xdr:pic>
      <xdr:nvPicPr>
        <xdr:cNvPr id="101" name="Рисунок 100" descr="C:\Users\Денис\Desktop\Картинки\МАССА-К\Терминалы\4D-PNРМ.jpg"/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37" y="112352666"/>
          <a:ext cx="709083" cy="7090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402154</xdr:colOff>
      <xdr:row>277</xdr:row>
      <xdr:rowOff>31749</xdr:rowOff>
    </xdr:from>
    <xdr:to>
      <xdr:col>0</xdr:col>
      <xdr:colOff>1111237</xdr:colOff>
      <xdr:row>277</xdr:row>
      <xdr:rowOff>740832</xdr:rowOff>
    </xdr:to>
    <xdr:pic>
      <xdr:nvPicPr>
        <xdr:cNvPr id="102" name="Рисунок 101" descr="C:\Users\Денис\Desktop\Картинки\МАССА-К\Терминалы\4D-PNРМ.jpg"/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154" y="113114666"/>
          <a:ext cx="709083" cy="7090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412737</xdr:colOff>
      <xdr:row>278</xdr:row>
      <xdr:rowOff>31749</xdr:rowOff>
    </xdr:from>
    <xdr:to>
      <xdr:col>0</xdr:col>
      <xdr:colOff>1121820</xdr:colOff>
      <xdr:row>278</xdr:row>
      <xdr:rowOff>740832</xdr:rowOff>
    </xdr:to>
    <xdr:pic>
      <xdr:nvPicPr>
        <xdr:cNvPr id="103" name="Рисунок 102" descr="C:\Users\Денис\Desktop\Картинки\МАССА-К\Терминалы\4D-PNРМ.jpg"/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37" y="113876666"/>
          <a:ext cx="709083" cy="7090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402155</xdr:colOff>
      <xdr:row>279</xdr:row>
      <xdr:rowOff>31750</xdr:rowOff>
    </xdr:from>
    <xdr:to>
      <xdr:col>0</xdr:col>
      <xdr:colOff>1100654</xdr:colOff>
      <xdr:row>279</xdr:row>
      <xdr:rowOff>730249</xdr:rowOff>
    </xdr:to>
    <xdr:pic>
      <xdr:nvPicPr>
        <xdr:cNvPr id="107" name="Рисунок 106" descr="C:\Users\Денис\Desktop\Картинки\МАССА-К\Терминалы\RM4D-PМs.jpg"/>
        <xdr:cNvPicPr/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155" y="114638667"/>
          <a:ext cx="698499" cy="6984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391571</xdr:colOff>
      <xdr:row>280</xdr:row>
      <xdr:rowOff>31749</xdr:rowOff>
    </xdr:from>
    <xdr:to>
      <xdr:col>0</xdr:col>
      <xdr:colOff>1090070</xdr:colOff>
      <xdr:row>280</xdr:row>
      <xdr:rowOff>730248</xdr:rowOff>
    </xdr:to>
    <xdr:pic>
      <xdr:nvPicPr>
        <xdr:cNvPr id="108" name="Рисунок 107" descr="C:\Users\Денис\Desktop\Картинки\МАССА-К\Терминалы\RM4D-PМs.jpg"/>
        <xdr:cNvPicPr/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71" y="115400666"/>
          <a:ext cx="698499" cy="6984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402154</xdr:colOff>
      <xdr:row>281</xdr:row>
      <xdr:rowOff>31749</xdr:rowOff>
    </xdr:from>
    <xdr:to>
      <xdr:col>0</xdr:col>
      <xdr:colOff>1100653</xdr:colOff>
      <xdr:row>281</xdr:row>
      <xdr:rowOff>730248</xdr:rowOff>
    </xdr:to>
    <xdr:pic>
      <xdr:nvPicPr>
        <xdr:cNvPr id="109" name="Рисунок 108" descr="C:\Users\Денис\Desktop\Картинки\МАССА-К\Терминалы\RM4D-PМs.jpg"/>
        <xdr:cNvPicPr/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154" y="116162666"/>
          <a:ext cx="698499" cy="6984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338671</xdr:colOff>
      <xdr:row>263</xdr:row>
      <xdr:rowOff>21180</xdr:rowOff>
    </xdr:from>
    <xdr:to>
      <xdr:col>0</xdr:col>
      <xdr:colOff>1053046</xdr:colOff>
      <xdr:row>263</xdr:row>
      <xdr:rowOff>735555</xdr:rowOff>
    </xdr:to>
    <xdr:pic>
      <xdr:nvPicPr>
        <xdr:cNvPr id="69" name="Рисунок 68" descr="C:\Users\Денис\Desktop\Картинки\МАССА-К\Терминалы\A_s.jpg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01695263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349240</xdr:colOff>
      <xdr:row>264</xdr:row>
      <xdr:rowOff>31750</xdr:rowOff>
    </xdr:from>
    <xdr:to>
      <xdr:col>0</xdr:col>
      <xdr:colOff>1063615</xdr:colOff>
      <xdr:row>264</xdr:row>
      <xdr:rowOff>746125</xdr:rowOff>
    </xdr:to>
    <xdr:pic>
      <xdr:nvPicPr>
        <xdr:cNvPr id="70" name="Рисунок 69" descr="C:\Users\Денис\Desktop\Картинки\МАССА-К\Терминалы\A(RUEW)_s.jpg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02467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338657</xdr:colOff>
      <xdr:row>265</xdr:row>
      <xdr:rowOff>31750</xdr:rowOff>
    </xdr:from>
    <xdr:to>
      <xdr:col>0</xdr:col>
      <xdr:colOff>1053032</xdr:colOff>
      <xdr:row>265</xdr:row>
      <xdr:rowOff>746125</xdr:rowOff>
    </xdr:to>
    <xdr:pic>
      <xdr:nvPicPr>
        <xdr:cNvPr id="71" name="Рисунок 70" descr="C:\Users\Денис\Desktop\Картинки\МАССА-К\Терминалы\AB_s.jpg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03229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317491</xdr:colOff>
      <xdr:row>266</xdr:row>
      <xdr:rowOff>31750</xdr:rowOff>
    </xdr:from>
    <xdr:to>
      <xdr:col>0</xdr:col>
      <xdr:colOff>1031866</xdr:colOff>
      <xdr:row>266</xdr:row>
      <xdr:rowOff>746125</xdr:rowOff>
    </xdr:to>
    <xdr:pic>
      <xdr:nvPicPr>
        <xdr:cNvPr id="78" name="Рисунок 77" descr="C:\Users\Денис\Desktop\Картинки\МАССА-К\Терминалы\AB(RUEW)_s.jp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03991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306908</xdr:colOff>
      <xdr:row>267</xdr:row>
      <xdr:rowOff>31750</xdr:rowOff>
    </xdr:from>
    <xdr:to>
      <xdr:col>0</xdr:col>
      <xdr:colOff>1021283</xdr:colOff>
      <xdr:row>267</xdr:row>
      <xdr:rowOff>746125</xdr:rowOff>
    </xdr:to>
    <xdr:pic>
      <xdr:nvPicPr>
        <xdr:cNvPr id="91" name="Рисунок 90" descr="C:\Users\Денис\Desktop\Картинки\МАССА-К\Терминалы\RA_s.jpg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04753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306908</xdr:colOff>
      <xdr:row>268</xdr:row>
      <xdr:rowOff>31750</xdr:rowOff>
    </xdr:from>
    <xdr:to>
      <xdr:col>0</xdr:col>
      <xdr:colOff>1021283</xdr:colOff>
      <xdr:row>268</xdr:row>
      <xdr:rowOff>746125</xdr:rowOff>
    </xdr:to>
    <xdr:pic>
      <xdr:nvPicPr>
        <xdr:cNvPr id="92" name="Рисунок 91" descr="C:\Users\Денис\Desktop\Картинки\МАССА-К\Терминалы\RC_s.jpg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05515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285791</xdr:colOff>
      <xdr:row>269</xdr:row>
      <xdr:rowOff>31750</xdr:rowOff>
    </xdr:from>
    <xdr:to>
      <xdr:col>0</xdr:col>
      <xdr:colOff>1000166</xdr:colOff>
      <xdr:row>269</xdr:row>
      <xdr:rowOff>746125</xdr:rowOff>
    </xdr:to>
    <xdr:pic>
      <xdr:nvPicPr>
        <xdr:cNvPr id="93" name="Рисунок 92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06277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296324</xdr:colOff>
      <xdr:row>270</xdr:row>
      <xdr:rowOff>31749</xdr:rowOff>
    </xdr:from>
    <xdr:to>
      <xdr:col>0</xdr:col>
      <xdr:colOff>1010699</xdr:colOff>
      <xdr:row>270</xdr:row>
      <xdr:rowOff>746124</xdr:rowOff>
    </xdr:to>
    <xdr:pic>
      <xdr:nvPicPr>
        <xdr:cNvPr id="94" name="Рисунок 93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07039832"/>
          <a:ext cx="714375" cy="7143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306908</xdr:colOff>
      <xdr:row>296</xdr:row>
      <xdr:rowOff>21167</xdr:rowOff>
    </xdr:from>
    <xdr:ext cx="714375" cy="714375"/>
    <xdr:pic>
      <xdr:nvPicPr>
        <xdr:cNvPr id="115" name="Рисунок 114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07791250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338656</xdr:colOff>
      <xdr:row>297</xdr:row>
      <xdr:rowOff>31749</xdr:rowOff>
    </xdr:from>
    <xdr:ext cx="714375" cy="714375"/>
    <xdr:pic>
      <xdr:nvPicPr>
        <xdr:cNvPr id="116" name="Рисунок 115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0856383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444486</xdr:colOff>
      <xdr:row>299</xdr:row>
      <xdr:rowOff>31749</xdr:rowOff>
    </xdr:from>
    <xdr:ext cx="666750" cy="714375"/>
    <xdr:pic>
      <xdr:nvPicPr>
        <xdr:cNvPr id="117" name="Рисунок 116" descr="C:\Users\Денис\Desktop\Картинки\МАССА-К\Терминалы\ST4Ds.jpg"/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09569249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300</xdr:row>
      <xdr:rowOff>31749</xdr:rowOff>
    </xdr:from>
    <xdr:ext cx="740833" cy="714375"/>
    <xdr:pic>
      <xdr:nvPicPr>
        <xdr:cNvPr id="118" name="Рисунок 117" descr="C:\Users\Денис\Desktop\Картинки\МАССА-К\Терминалы\DI4D.W_s.jpg"/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10331249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338671</xdr:colOff>
      <xdr:row>288</xdr:row>
      <xdr:rowOff>21180</xdr:rowOff>
    </xdr:from>
    <xdr:ext cx="714375" cy="714375"/>
    <xdr:pic>
      <xdr:nvPicPr>
        <xdr:cNvPr id="119" name="Рисунок 118" descr="C:\Users\Денис\Desktop\Картинки\МАССА-К\Терминалы\A_s.jpg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0169526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349240</xdr:colOff>
      <xdr:row>289</xdr:row>
      <xdr:rowOff>31750</xdr:rowOff>
    </xdr:from>
    <xdr:ext cx="714375" cy="714375"/>
    <xdr:pic>
      <xdr:nvPicPr>
        <xdr:cNvPr id="120" name="Рисунок 119" descr="C:\Users\Денис\Desktop\Картинки\МАССА-К\Терминалы\A(RUEW)_s.jpg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02467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338657</xdr:colOff>
      <xdr:row>290</xdr:row>
      <xdr:rowOff>31750</xdr:rowOff>
    </xdr:from>
    <xdr:ext cx="714375" cy="714375"/>
    <xdr:pic>
      <xdr:nvPicPr>
        <xdr:cNvPr id="121" name="Рисунок 120" descr="C:\Users\Денис\Desktop\Картинки\МАССА-К\Терминалы\AB_s.jpg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03229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317491</xdr:colOff>
      <xdr:row>291</xdr:row>
      <xdr:rowOff>31750</xdr:rowOff>
    </xdr:from>
    <xdr:ext cx="714375" cy="714375"/>
    <xdr:pic>
      <xdr:nvPicPr>
        <xdr:cNvPr id="122" name="Рисунок 121" descr="C:\Users\Денис\Desktop\Картинки\МАССА-К\Терминалы\AB(RUEW)_s.jp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03991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292</xdr:row>
      <xdr:rowOff>31750</xdr:rowOff>
    </xdr:from>
    <xdr:ext cx="714375" cy="714375"/>
    <xdr:pic>
      <xdr:nvPicPr>
        <xdr:cNvPr id="123" name="Рисунок 122" descr="C:\Users\Денис\Desktop\Картинки\МАССА-К\Терминалы\RA_s.jpg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04753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293</xdr:row>
      <xdr:rowOff>31750</xdr:rowOff>
    </xdr:from>
    <xdr:ext cx="714375" cy="714375"/>
    <xdr:pic>
      <xdr:nvPicPr>
        <xdr:cNvPr id="124" name="Рисунок 123" descr="C:\Users\Денис\Desktop\Картинки\МАССА-К\Терминалы\RC_s.jpg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05515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285791</xdr:colOff>
      <xdr:row>294</xdr:row>
      <xdr:rowOff>31750</xdr:rowOff>
    </xdr:from>
    <xdr:ext cx="714375" cy="714375"/>
    <xdr:pic>
      <xdr:nvPicPr>
        <xdr:cNvPr id="125" name="Рисунок 124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06277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296324</xdr:colOff>
      <xdr:row>295</xdr:row>
      <xdr:rowOff>31749</xdr:rowOff>
    </xdr:from>
    <xdr:ext cx="714375" cy="714375"/>
    <xdr:pic>
      <xdr:nvPicPr>
        <xdr:cNvPr id="126" name="Рисунок 125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0703983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63498</xdr:colOff>
      <xdr:row>285</xdr:row>
      <xdr:rowOff>52915</xdr:rowOff>
    </xdr:from>
    <xdr:to>
      <xdr:col>0</xdr:col>
      <xdr:colOff>1492248</xdr:colOff>
      <xdr:row>286</xdr:row>
      <xdr:rowOff>719665</xdr:rowOff>
    </xdr:to>
    <xdr:pic>
      <xdr:nvPicPr>
        <xdr:cNvPr id="127" name="Рисунок 126" descr="C:\Users\Денис\Desktop\Картинки\МАССА-К\4D-LM\4D-LM_s.jpg"/>
        <xdr:cNvPicPr/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16691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304</xdr:row>
      <xdr:rowOff>42332</xdr:rowOff>
    </xdr:from>
    <xdr:to>
      <xdr:col>0</xdr:col>
      <xdr:colOff>1502831</xdr:colOff>
      <xdr:row>308</xdr:row>
      <xdr:rowOff>74082</xdr:rowOff>
    </xdr:to>
    <xdr:pic>
      <xdr:nvPicPr>
        <xdr:cNvPr id="128" name="Рисунок 127" descr="C:\Users\Денис\Desktop\Картинки\МАССА-К\4D-LA\4D-LA_s.jpg"/>
        <xdr:cNvPicPr/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2884149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307</xdr:row>
      <xdr:rowOff>264532</xdr:rowOff>
    </xdr:from>
    <xdr:to>
      <xdr:col>0</xdr:col>
      <xdr:colOff>1502831</xdr:colOff>
      <xdr:row>311</xdr:row>
      <xdr:rowOff>296282</xdr:rowOff>
    </xdr:to>
    <xdr:pic>
      <xdr:nvPicPr>
        <xdr:cNvPr id="129" name="Рисунок 128" descr="C:\Users\Денис\Desktop\Картинки\МАССА-К\4D-LA\4D-LA.S_s.jpg"/>
        <xdr:cNvPicPr/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3011144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306908</xdr:colOff>
      <xdr:row>321</xdr:row>
      <xdr:rowOff>21167</xdr:rowOff>
    </xdr:from>
    <xdr:ext cx="714375" cy="714375"/>
    <xdr:pic>
      <xdr:nvPicPr>
        <xdr:cNvPr id="130" name="Рисунок 129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24523500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338656</xdr:colOff>
      <xdr:row>322</xdr:row>
      <xdr:rowOff>31749</xdr:rowOff>
    </xdr:from>
    <xdr:ext cx="714375" cy="714375"/>
    <xdr:pic>
      <xdr:nvPicPr>
        <xdr:cNvPr id="131" name="Рисунок 130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2529608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444486</xdr:colOff>
      <xdr:row>324</xdr:row>
      <xdr:rowOff>31749</xdr:rowOff>
    </xdr:from>
    <xdr:ext cx="666750" cy="714375"/>
    <xdr:pic>
      <xdr:nvPicPr>
        <xdr:cNvPr id="132" name="Рисунок 131" descr="C:\Users\Денис\Desktop\Картинки\МАССА-К\Терминалы\ST4Ds.jpg"/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26301499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325</xdr:row>
      <xdr:rowOff>31749</xdr:rowOff>
    </xdr:from>
    <xdr:ext cx="740833" cy="714375"/>
    <xdr:pic>
      <xdr:nvPicPr>
        <xdr:cNvPr id="133" name="Рисунок 132" descr="C:\Users\Денис\Desktop\Картинки\МАССА-К\Терминалы\DI4D.W_s.jpg"/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27063499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338671</xdr:colOff>
      <xdr:row>313</xdr:row>
      <xdr:rowOff>21180</xdr:rowOff>
    </xdr:from>
    <xdr:ext cx="714375" cy="714375"/>
    <xdr:pic>
      <xdr:nvPicPr>
        <xdr:cNvPr id="134" name="Рисунок 133" descr="C:\Users\Денис\Desktop\Картинки\МАССА-К\Терминалы\A_s.jpg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1842751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349240</xdr:colOff>
      <xdr:row>314</xdr:row>
      <xdr:rowOff>31750</xdr:rowOff>
    </xdr:from>
    <xdr:ext cx="714375" cy="714375"/>
    <xdr:pic>
      <xdr:nvPicPr>
        <xdr:cNvPr id="135" name="Рисунок 134" descr="C:\Users\Денис\Desktop\Картинки\МАССА-К\Терминалы\A(RUEW)_s.jpg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19200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338657</xdr:colOff>
      <xdr:row>315</xdr:row>
      <xdr:rowOff>31750</xdr:rowOff>
    </xdr:from>
    <xdr:ext cx="714375" cy="714375"/>
    <xdr:pic>
      <xdr:nvPicPr>
        <xdr:cNvPr id="136" name="Рисунок 135" descr="C:\Users\Денис\Desktop\Картинки\МАССА-К\Терминалы\AB_s.jpg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19962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317491</xdr:colOff>
      <xdr:row>316</xdr:row>
      <xdr:rowOff>31750</xdr:rowOff>
    </xdr:from>
    <xdr:ext cx="714375" cy="714375"/>
    <xdr:pic>
      <xdr:nvPicPr>
        <xdr:cNvPr id="137" name="Рисунок 136" descr="C:\Users\Денис\Desktop\Картинки\МАССА-К\Терминалы\AB(RUEW)_s.jp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20724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317</xdr:row>
      <xdr:rowOff>31750</xdr:rowOff>
    </xdr:from>
    <xdr:ext cx="714375" cy="714375"/>
    <xdr:pic>
      <xdr:nvPicPr>
        <xdr:cNvPr id="138" name="Рисунок 137" descr="C:\Users\Денис\Desktop\Картинки\МАССА-К\Терминалы\RA_s.jpg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21486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318</xdr:row>
      <xdr:rowOff>31750</xdr:rowOff>
    </xdr:from>
    <xdr:ext cx="714375" cy="714375"/>
    <xdr:pic>
      <xdr:nvPicPr>
        <xdr:cNvPr id="139" name="Рисунок 138" descr="C:\Users\Денис\Desktop\Картинки\МАССА-К\Терминалы\RC_s.jpg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22248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285791</xdr:colOff>
      <xdr:row>319</xdr:row>
      <xdr:rowOff>31750</xdr:rowOff>
    </xdr:from>
    <xdr:ext cx="714375" cy="714375"/>
    <xdr:pic>
      <xdr:nvPicPr>
        <xdr:cNvPr id="140" name="Рисунок 139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23010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296324</xdr:colOff>
      <xdr:row>320</xdr:row>
      <xdr:rowOff>31749</xdr:rowOff>
    </xdr:from>
    <xdr:ext cx="714375" cy="714375"/>
    <xdr:pic>
      <xdr:nvPicPr>
        <xdr:cNvPr id="141" name="Рисунок 140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2377208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340</xdr:row>
      <xdr:rowOff>21167</xdr:rowOff>
    </xdr:from>
    <xdr:ext cx="714375" cy="714375"/>
    <xdr:pic>
      <xdr:nvPicPr>
        <xdr:cNvPr id="142" name="Рисунок 141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37953750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338656</xdr:colOff>
      <xdr:row>341</xdr:row>
      <xdr:rowOff>31749</xdr:rowOff>
    </xdr:from>
    <xdr:ext cx="714375" cy="714375"/>
    <xdr:pic>
      <xdr:nvPicPr>
        <xdr:cNvPr id="143" name="Рисунок 142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3872633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444486</xdr:colOff>
      <xdr:row>343</xdr:row>
      <xdr:rowOff>31749</xdr:rowOff>
    </xdr:from>
    <xdr:ext cx="666750" cy="714375"/>
    <xdr:pic>
      <xdr:nvPicPr>
        <xdr:cNvPr id="144" name="Рисунок 143" descr="C:\Users\Денис\Desktop\Картинки\МАССА-К\Терминалы\ST4Ds.jpg"/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39731749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344</xdr:row>
      <xdr:rowOff>31749</xdr:rowOff>
    </xdr:from>
    <xdr:ext cx="740833" cy="714375"/>
    <xdr:pic>
      <xdr:nvPicPr>
        <xdr:cNvPr id="145" name="Рисунок 144" descr="C:\Users\Денис\Desktop\Картинки\МАССА-К\Терминалы\DI4D.W_s.jpg"/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40493749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338671</xdr:colOff>
      <xdr:row>332</xdr:row>
      <xdr:rowOff>21180</xdr:rowOff>
    </xdr:from>
    <xdr:ext cx="714375" cy="714375"/>
    <xdr:pic>
      <xdr:nvPicPr>
        <xdr:cNvPr id="146" name="Рисунок 145" descr="C:\Users\Денис\Desktop\Картинки\МАССА-К\Терминалы\A_s.jpg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3185776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349240</xdr:colOff>
      <xdr:row>333</xdr:row>
      <xdr:rowOff>31750</xdr:rowOff>
    </xdr:from>
    <xdr:ext cx="714375" cy="714375"/>
    <xdr:pic>
      <xdr:nvPicPr>
        <xdr:cNvPr id="147" name="Рисунок 146" descr="C:\Users\Денис\Desktop\Картинки\МАССА-К\Терминалы\A(RUEW)_s.jpg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32630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338657</xdr:colOff>
      <xdr:row>334</xdr:row>
      <xdr:rowOff>31750</xdr:rowOff>
    </xdr:from>
    <xdr:ext cx="714375" cy="714375"/>
    <xdr:pic>
      <xdr:nvPicPr>
        <xdr:cNvPr id="148" name="Рисунок 147" descr="C:\Users\Денис\Desktop\Картинки\МАССА-К\Терминалы\AB_s.jpg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33392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317491</xdr:colOff>
      <xdr:row>335</xdr:row>
      <xdr:rowOff>31750</xdr:rowOff>
    </xdr:from>
    <xdr:ext cx="714375" cy="714375"/>
    <xdr:pic>
      <xdr:nvPicPr>
        <xdr:cNvPr id="149" name="Рисунок 148" descr="C:\Users\Денис\Desktop\Картинки\МАССА-К\Терминалы\AB(RUEW)_s.jp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34154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336</xdr:row>
      <xdr:rowOff>31750</xdr:rowOff>
    </xdr:from>
    <xdr:ext cx="714375" cy="714375"/>
    <xdr:pic>
      <xdr:nvPicPr>
        <xdr:cNvPr id="150" name="Рисунок 149" descr="C:\Users\Денис\Desktop\Картинки\МАССА-К\Терминалы\RA_s.jpg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34916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337</xdr:row>
      <xdr:rowOff>31750</xdr:rowOff>
    </xdr:from>
    <xdr:ext cx="714375" cy="714375"/>
    <xdr:pic>
      <xdr:nvPicPr>
        <xdr:cNvPr id="151" name="Рисунок 150" descr="C:\Users\Денис\Desktop\Картинки\МАССА-К\Терминалы\RC_s.jpg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35678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285791</xdr:colOff>
      <xdr:row>338</xdr:row>
      <xdr:rowOff>31750</xdr:rowOff>
    </xdr:from>
    <xdr:ext cx="714375" cy="714375"/>
    <xdr:pic>
      <xdr:nvPicPr>
        <xdr:cNvPr id="152" name="Рисунок 151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36440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296324</xdr:colOff>
      <xdr:row>339</xdr:row>
      <xdr:rowOff>31749</xdr:rowOff>
    </xdr:from>
    <xdr:ext cx="714375" cy="714375"/>
    <xdr:pic>
      <xdr:nvPicPr>
        <xdr:cNvPr id="153" name="Рисунок 152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3720233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74081</xdr:colOff>
      <xdr:row>329</xdr:row>
      <xdr:rowOff>52915</xdr:rowOff>
    </xdr:from>
    <xdr:to>
      <xdr:col>0</xdr:col>
      <xdr:colOff>1502831</xdr:colOff>
      <xdr:row>330</xdr:row>
      <xdr:rowOff>719665</xdr:rowOff>
    </xdr:to>
    <xdr:pic>
      <xdr:nvPicPr>
        <xdr:cNvPr id="154" name="Рисунок 153" descr="C:\Users\Денис\Desktop\Картинки\МАССА-К\4D-U\4D-U_s.jpg"/>
        <xdr:cNvPicPr/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422823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306908</xdr:colOff>
      <xdr:row>359</xdr:row>
      <xdr:rowOff>21167</xdr:rowOff>
    </xdr:from>
    <xdr:ext cx="714375" cy="714375"/>
    <xdr:pic>
      <xdr:nvPicPr>
        <xdr:cNvPr id="155" name="Рисунок 154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50114000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338656</xdr:colOff>
      <xdr:row>360</xdr:row>
      <xdr:rowOff>31749</xdr:rowOff>
    </xdr:from>
    <xdr:ext cx="714375" cy="714375"/>
    <xdr:pic>
      <xdr:nvPicPr>
        <xdr:cNvPr id="156" name="Рисунок 155" descr="C:\Users\Денис\Desktop\Картинки\МАССА-К\Терминалы\R2L_s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5088658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444486</xdr:colOff>
      <xdr:row>362</xdr:row>
      <xdr:rowOff>31749</xdr:rowOff>
    </xdr:from>
    <xdr:ext cx="666750" cy="714375"/>
    <xdr:pic>
      <xdr:nvPicPr>
        <xdr:cNvPr id="157" name="Рисунок 156" descr="C:\Users\Денис\Desktop\Картинки\МАССА-К\Терминалы\ST4Ds.jpg"/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51891999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363</xdr:row>
      <xdr:rowOff>31749</xdr:rowOff>
    </xdr:from>
    <xdr:ext cx="740833" cy="714375"/>
    <xdr:pic>
      <xdr:nvPicPr>
        <xdr:cNvPr id="158" name="Рисунок 157" descr="C:\Users\Денис\Desktop\Картинки\МАССА-К\Терминалы\DI4D.W_s.jpg"/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52653999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338671</xdr:colOff>
      <xdr:row>351</xdr:row>
      <xdr:rowOff>21180</xdr:rowOff>
    </xdr:from>
    <xdr:ext cx="714375" cy="714375"/>
    <xdr:pic>
      <xdr:nvPicPr>
        <xdr:cNvPr id="159" name="Рисунок 158" descr="C:\Users\Денис\Desktop\Картинки\МАССА-К\Терминалы\A_s.jpg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4401801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349240</xdr:colOff>
      <xdr:row>352</xdr:row>
      <xdr:rowOff>31750</xdr:rowOff>
    </xdr:from>
    <xdr:ext cx="714375" cy="714375"/>
    <xdr:pic>
      <xdr:nvPicPr>
        <xdr:cNvPr id="160" name="Рисунок 159" descr="C:\Users\Денис\Desktop\Картинки\МАССА-К\Терминалы\A(RUEW)_s.jpg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44790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338657</xdr:colOff>
      <xdr:row>353</xdr:row>
      <xdr:rowOff>31750</xdr:rowOff>
    </xdr:from>
    <xdr:ext cx="714375" cy="714375"/>
    <xdr:pic>
      <xdr:nvPicPr>
        <xdr:cNvPr id="161" name="Рисунок 160" descr="C:\Users\Денис\Desktop\Картинки\МАССА-К\Терминалы\AB_s.jpg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45552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317491</xdr:colOff>
      <xdr:row>354</xdr:row>
      <xdr:rowOff>31750</xdr:rowOff>
    </xdr:from>
    <xdr:ext cx="714375" cy="714375"/>
    <xdr:pic>
      <xdr:nvPicPr>
        <xdr:cNvPr id="162" name="Рисунок 161" descr="C:\Users\Денис\Desktop\Картинки\МАССА-К\Терминалы\AB(RUEW)_s.jp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46314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355</xdr:row>
      <xdr:rowOff>31750</xdr:rowOff>
    </xdr:from>
    <xdr:ext cx="714375" cy="714375"/>
    <xdr:pic>
      <xdr:nvPicPr>
        <xdr:cNvPr id="163" name="Рисунок 162" descr="C:\Users\Денис\Desktop\Картинки\МАССА-К\Терминалы\RA_s.jpg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47076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356</xdr:row>
      <xdr:rowOff>31750</xdr:rowOff>
    </xdr:from>
    <xdr:ext cx="714375" cy="714375"/>
    <xdr:pic>
      <xdr:nvPicPr>
        <xdr:cNvPr id="164" name="Рисунок 163" descr="C:\Users\Денис\Desktop\Картинки\МАССА-К\Терминалы\RC_s.jpg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47838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285791</xdr:colOff>
      <xdr:row>357</xdr:row>
      <xdr:rowOff>31750</xdr:rowOff>
    </xdr:from>
    <xdr:ext cx="714375" cy="714375"/>
    <xdr:pic>
      <xdr:nvPicPr>
        <xdr:cNvPr id="165" name="Рисунок 164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48600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296324</xdr:colOff>
      <xdr:row>358</xdr:row>
      <xdr:rowOff>31749</xdr:rowOff>
    </xdr:from>
    <xdr:ext cx="714375" cy="714375"/>
    <xdr:pic>
      <xdr:nvPicPr>
        <xdr:cNvPr id="166" name="Рисунок 165" descr="C:\Users\Денис\Desktop\Картинки\МАССА-К\Терминалы\RPs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4936258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63498</xdr:colOff>
      <xdr:row>348</xdr:row>
      <xdr:rowOff>52915</xdr:rowOff>
    </xdr:from>
    <xdr:to>
      <xdr:col>0</xdr:col>
      <xdr:colOff>1492248</xdr:colOff>
      <xdr:row>349</xdr:row>
      <xdr:rowOff>719665</xdr:rowOff>
    </xdr:to>
    <xdr:pic>
      <xdr:nvPicPr>
        <xdr:cNvPr id="167" name="Рисунок 166" descr="C:\Users\Денис\Desktop\Картинки\МАССА-К\4D-B-23\4D-B-23_s.jpg"/>
        <xdr:cNvPicPr/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544425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38100</xdr:rowOff>
    </xdr:from>
    <xdr:to>
      <xdr:col>0</xdr:col>
      <xdr:colOff>1495425</xdr:colOff>
      <xdr:row>4</xdr:row>
      <xdr:rowOff>457200</xdr:rowOff>
    </xdr:to>
    <xdr:pic>
      <xdr:nvPicPr>
        <xdr:cNvPr id="2" name="Рисунок 5" descr="C:\Users\Денис\Desktop\Картинки для сайта\МАССЦентр\MSC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39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</xdr:row>
      <xdr:rowOff>57150</xdr:rowOff>
    </xdr:from>
    <xdr:to>
      <xdr:col>0</xdr:col>
      <xdr:colOff>1495425</xdr:colOff>
      <xdr:row>10</xdr:row>
      <xdr:rowOff>466725</xdr:rowOff>
    </xdr:to>
    <xdr:pic>
      <xdr:nvPicPr>
        <xdr:cNvPr id="3" name="Рисунок 6" descr="C:\Users\Денис\Desktop\Картинки для сайта\МАССЦентр\MSC-Ds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909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</xdr:row>
      <xdr:rowOff>57150</xdr:rowOff>
    </xdr:from>
    <xdr:to>
      <xdr:col>0</xdr:col>
      <xdr:colOff>1495425</xdr:colOff>
      <xdr:row>16</xdr:row>
      <xdr:rowOff>466725</xdr:rowOff>
    </xdr:to>
    <xdr:pic>
      <xdr:nvPicPr>
        <xdr:cNvPr id="4" name="Рисунок 8" descr="C:\Users\Денис\Desktop\Картинки для сайта\МАССЦентр\MSs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388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</xdr:row>
      <xdr:rowOff>57150</xdr:rowOff>
    </xdr:from>
    <xdr:to>
      <xdr:col>0</xdr:col>
      <xdr:colOff>1495425</xdr:colOff>
      <xdr:row>23</xdr:row>
      <xdr:rowOff>342900</xdr:rowOff>
    </xdr:to>
    <xdr:pic>
      <xdr:nvPicPr>
        <xdr:cNvPr id="5" name="Рисунок 10" descr="C:\Users\Денис\Desktop\Картинки для сайта\МАССЦентр\MSWEs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86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41</xdr:row>
      <xdr:rowOff>57150</xdr:rowOff>
    </xdr:from>
    <xdr:to>
      <xdr:col>0</xdr:col>
      <xdr:colOff>1495425</xdr:colOff>
      <xdr:row>43</xdr:row>
      <xdr:rowOff>466725</xdr:rowOff>
    </xdr:to>
    <xdr:pic>
      <xdr:nvPicPr>
        <xdr:cNvPr id="6" name="Рисунок 13" descr="C:\Users\Денис\Desktop\Картинки для сайта\МАССЦентр\MC2s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017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47</xdr:row>
      <xdr:rowOff>57150</xdr:rowOff>
    </xdr:from>
    <xdr:to>
      <xdr:col>0</xdr:col>
      <xdr:colOff>1495425</xdr:colOff>
      <xdr:row>49</xdr:row>
      <xdr:rowOff>466725</xdr:rowOff>
    </xdr:to>
    <xdr:pic>
      <xdr:nvPicPr>
        <xdr:cNvPr id="7" name="Рисунок 16" descr="C:\Users\Денис\Desktop\Картинки для сайта\МАССЦентр\MR1s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8497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53</xdr:row>
      <xdr:rowOff>57150</xdr:rowOff>
    </xdr:from>
    <xdr:to>
      <xdr:col>0</xdr:col>
      <xdr:colOff>1495425</xdr:colOff>
      <xdr:row>55</xdr:row>
      <xdr:rowOff>466725</xdr:rowOff>
    </xdr:to>
    <xdr:pic>
      <xdr:nvPicPr>
        <xdr:cNvPr id="8" name="Рисунок 18" descr="C:\Users\Денис\Desktop\Картинки для сайта\МАССЦентр\MR1-Ps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4976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59</xdr:row>
      <xdr:rowOff>57150</xdr:rowOff>
    </xdr:from>
    <xdr:to>
      <xdr:col>0</xdr:col>
      <xdr:colOff>1495425</xdr:colOff>
      <xdr:row>63</xdr:row>
      <xdr:rowOff>123826</xdr:rowOff>
    </xdr:to>
    <xdr:pic>
      <xdr:nvPicPr>
        <xdr:cNvPr id="9" name="Рисунок 20" descr="C:\Users\Денис\Desktop\Картинки для сайта\МАССЦентр\PM1Es.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14562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63</xdr:row>
      <xdr:rowOff>200025</xdr:rowOff>
    </xdr:from>
    <xdr:to>
      <xdr:col>0</xdr:col>
      <xdr:colOff>1504950</xdr:colOff>
      <xdr:row>67</xdr:row>
      <xdr:rowOff>276225</xdr:rowOff>
    </xdr:to>
    <xdr:pic>
      <xdr:nvPicPr>
        <xdr:cNvPr id="10" name="Рисунок 21" descr="C:\Users\Денис\Desktop\Картинки для сайта\МАССЦентр\PM1Ets.jp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66010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</xdr:row>
      <xdr:rowOff>57150</xdr:rowOff>
    </xdr:from>
    <xdr:to>
      <xdr:col>0</xdr:col>
      <xdr:colOff>1495425</xdr:colOff>
      <xdr:row>30</xdr:row>
      <xdr:rowOff>342900</xdr:rowOff>
    </xdr:to>
    <xdr:pic>
      <xdr:nvPicPr>
        <xdr:cNvPr id="11" name="Рисунок 22" descr="C:\Users\Денис\Desktop\Картинки для сайта\МАССЦентр\MSWE-Ds.jp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5443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73</xdr:row>
      <xdr:rowOff>38100</xdr:rowOff>
    </xdr:from>
    <xdr:to>
      <xdr:col>0</xdr:col>
      <xdr:colOff>1495425</xdr:colOff>
      <xdr:row>77</xdr:row>
      <xdr:rowOff>114301</xdr:rowOff>
    </xdr:to>
    <xdr:pic>
      <xdr:nvPicPr>
        <xdr:cNvPr id="12" name="Рисунок 13" descr="C:\Users\Денис\Desktop\Картинки для сайта\МАССЦентр\PM1Bs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84145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77</xdr:row>
      <xdr:rowOff>209550</xdr:rowOff>
    </xdr:from>
    <xdr:to>
      <xdr:col>0</xdr:col>
      <xdr:colOff>1495425</xdr:colOff>
      <xdr:row>81</xdr:row>
      <xdr:rowOff>285750</xdr:rowOff>
    </xdr:to>
    <xdr:pic>
      <xdr:nvPicPr>
        <xdr:cNvPr id="13" name="Рисунок 14" descr="C:\Users\Денис\Desktop\Картинки для сайта\МАССЦентр\PM1Bts.jp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8450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87</xdr:row>
      <xdr:rowOff>57150</xdr:rowOff>
    </xdr:from>
    <xdr:to>
      <xdr:col>0</xdr:col>
      <xdr:colOff>1495425</xdr:colOff>
      <xdr:row>89</xdr:row>
      <xdr:rowOff>466725</xdr:rowOff>
    </xdr:to>
    <xdr:pic>
      <xdr:nvPicPr>
        <xdr:cNvPr id="14" name="Рисунок 17" descr="C:\Users\Денис\Desktop\Картинки для сайта\МАССЦентр\PM1Hs.jp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53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90</xdr:row>
      <xdr:rowOff>38100</xdr:rowOff>
    </xdr:from>
    <xdr:to>
      <xdr:col>0</xdr:col>
      <xdr:colOff>1495425</xdr:colOff>
      <xdr:row>92</xdr:row>
      <xdr:rowOff>457200</xdr:rowOff>
    </xdr:to>
    <xdr:pic>
      <xdr:nvPicPr>
        <xdr:cNvPr id="15" name="Рисунок 18" descr="C:\Users\Денис\Desktop\Картинки для сайта\МАССЦентр\PM1Hts.jp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70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63498</xdr:colOff>
      <xdr:row>34</xdr:row>
      <xdr:rowOff>158749</xdr:rowOff>
    </xdr:from>
    <xdr:to>
      <xdr:col>0</xdr:col>
      <xdr:colOff>1492248</xdr:colOff>
      <xdr:row>37</xdr:row>
      <xdr:rowOff>285749</xdr:rowOff>
    </xdr:to>
    <xdr:pic>
      <xdr:nvPicPr>
        <xdr:cNvPr id="17" name="Рисунок 16" descr="D:\Картинки для сайта\Картинки\МАСС\MSW_s.jpg"/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4329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57150</xdr:rowOff>
    </xdr:from>
    <xdr:to>
      <xdr:col>0</xdr:col>
      <xdr:colOff>1504950</xdr:colOff>
      <xdr:row>3</xdr:row>
      <xdr:rowOff>723900</xdr:rowOff>
    </xdr:to>
    <xdr:pic>
      <xdr:nvPicPr>
        <xdr:cNvPr id="1423173" name="Рисунок 21" descr="СЕ 124-С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733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</xdr:row>
      <xdr:rowOff>38100</xdr:rowOff>
    </xdr:from>
    <xdr:to>
      <xdr:col>0</xdr:col>
      <xdr:colOff>1495425</xdr:colOff>
      <xdr:row>10</xdr:row>
      <xdr:rowOff>323850</xdr:rowOff>
    </xdr:to>
    <xdr:pic>
      <xdr:nvPicPr>
        <xdr:cNvPr id="1423174" name="Рисунок 22" descr="СЕ 323-С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48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10</xdr:row>
      <xdr:rowOff>381000</xdr:rowOff>
    </xdr:from>
    <xdr:to>
      <xdr:col>0</xdr:col>
      <xdr:colOff>1495425</xdr:colOff>
      <xdr:row>14</xdr:row>
      <xdr:rowOff>285750</xdr:rowOff>
    </xdr:to>
    <xdr:pic>
      <xdr:nvPicPr>
        <xdr:cNvPr id="1423175" name="Рисунок 23" descr="СЕ 612-С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343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</xdr:row>
      <xdr:rowOff>28575</xdr:rowOff>
    </xdr:from>
    <xdr:to>
      <xdr:col>0</xdr:col>
      <xdr:colOff>1495425</xdr:colOff>
      <xdr:row>18</xdr:row>
      <xdr:rowOff>314325</xdr:rowOff>
    </xdr:to>
    <xdr:pic>
      <xdr:nvPicPr>
        <xdr:cNvPr id="1423176" name="Рисунок 24" descr="СЕ 6101-С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868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38100</xdr:rowOff>
    </xdr:from>
    <xdr:to>
      <xdr:col>0</xdr:col>
      <xdr:colOff>1495425</xdr:colOff>
      <xdr:row>6</xdr:row>
      <xdr:rowOff>209550</xdr:rowOff>
    </xdr:to>
    <xdr:pic>
      <xdr:nvPicPr>
        <xdr:cNvPr id="1447560" name="Рисунок 13" descr="ВМ-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001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</xdr:row>
      <xdr:rowOff>295275</xdr:rowOff>
    </xdr:from>
    <xdr:to>
      <xdr:col>0</xdr:col>
      <xdr:colOff>1495425</xdr:colOff>
      <xdr:row>10</xdr:row>
      <xdr:rowOff>152400</xdr:rowOff>
    </xdr:to>
    <xdr:pic>
      <xdr:nvPicPr>
        <xdr:cNvPr id="1447561" name="Рисунок 14" descr="ВМ-5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0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180975</xdr:rowOff>
    </xdr:from>
    <xdr:to>
      <xdr:col>0</xdr:col>
      <xdr:colOff>1504950</xdr:colOff>
      <xdr:row>14</xdr:row>
      <xdr:rowOff>38100</xdr:rowOff>
    </xdr:to>
    <xdr:pic>
      <xdr:nvPicPr>
        <xdr:cNvPr id="1447562" name="Рисунок 15" descr="ВМ-510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143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14</xdr:row>
      <xdr:rowOff>133350</xdr:rowOff>
    </xdr:from>
    <xdr:to>
      <xdr:col>0</xdr:col>
      <xdr:colOff>1504950</xdr:colOff>
      <xdr:row>18</xdr:row>
      <xdr:rowOff>295275</xdr:rowOff>
    </xdr:to>
    <xdr:pic>
      <xdr:nvPicPr>
        <xdr:cNvPr id="1447563" name="Рисунок 16" descr="ВМ-61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3529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</xdr:row>
      <xdr:rowOff>38100</xdr:rowOff>
    </xdr:from>
    <xdr:to>
      <xdr:col>0</xdr:col>
      <xdr:colOff>1495425</xdr:colOff>
      <xdr:row>24</xdr:row>
      <xdr:rowOff>466725</xdr:rowOff>
    </xdr:to>
    <xdr:pic>
      <xdr:nvPicPr>
        <xdr:cNvPr id="1447564" name="Рисунок 9" descr="ВМ-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83895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</xdr:row>
      <xdr:rowOff>390525</xdr:rowOff>
    </xdr:from>
    <xdr:to>
      <xdr:col>0</xdr:col>
      <xdr:colOff>1495425</xdr:colOff>
      <xdr:row>27</xdr:row>
      <xdr:rowOff>304800</xdr:rowOff>
    </xdr:to>
    <xdr:pic>
      <xdr:nvPicPr>
        <xdr:cNvPr id="1447565" name="Рисунок 10" descr="ВМ-5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2010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27</xdr:row>
      <xdr:rowOff>247650</xdr:rowOff>
    </xdr:from>
    <xdr:to>
      <xdr:col>0</xdr:col>
      <xdr:colOff>1504950</xdr:colOff>
      <xdr:row>30</xdr:row>
      <xdr:rowOff>161925</xdr:rowOff>
    </xdr:to>
    <xdr:pic>
      <xdr:nvPicPr>
        <xdr:cNvPr id="1447566" name="Рисунок 11" descr="ВМ-510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726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30</xdr:row>
      <xdr:rowOff>57150</xdr:rowOff>
    </xdr:from>
    <xdr:to>
      <xdr:col>0</xdr:col>
      <xdr:colOff>1504950</xdr:colOff>
      <xdr:row>32</xdr:row>
      <xdr:rowOff>476250</xdr:rowOff>
    </xdr:to>
    <xdr:pic>
      <xdr:nvPicPr>
        <xdr:cNvPr id="1447567" name="Рисунок 12" descr="ВМ-61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8966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39</xdr:row>
      <xdr:rowOff>0</xdr:rowOff>
    </xdr:from>
    <xdr:to>
      <xdr:col>0</xdr:col>
      <xdr:colOff>1495425</xdr:colOff>
      <xdr:row>44</xdr:row>
      <xdr:rowOff>190499</xdr:rowOff>
    </xdr:to>
    <xdr:pic>
      <xdr:nvPicPr>
        <xdr:cNvPr id="1447568" name="Рисунок 6" descr="C:\Users\Denis\Desktop\Картинки для сайта\Веста\AB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20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51</xdr:row>
      <xdr:rowOff>57150</xdr:rowOff>
    </xdr:from>
    <xdr:to>
      <xdr:col>0</xdr:col>
      <xdr:colOff>1495425</xdr:colOff>
      <xdr:row>54</xdr:row>
      <xdr:rowOff>342900</xdr:rowOff>
    </xdr:to>
    <xdr:pic>
      <xdr:nvPicPr>
        <xdr:cNvPr id="1447569" name="Рисунок 7" descr="C:\Users\Denis\Desktop\Картинки для сайта\Веста\AB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706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228600</xdr:rowOff>
    </xdr:from>
    <xdr:to>
      <xdr:col>0</xdr:col>
      <xdr:colOff>1504950</xdr:colOff>
      <xdr:row>7</xdr:row>
      <xdr:rowOff>76200</xdr:rowOff>
    </xdr:to>
    <xdr:pic>
      <xdr:nvPicPr>
        <xdr:cNvPr id="1378024" name="Рисунок 31" descr="СКЕ 60-40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906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</xdr:row>
      <xdr:rowOff>219075</xdr:rowOff>
    </xdr:from>
    <xdr:to>
      <xdr:col>0</xdr:col>
      <xdr:colOff>1495425</xdr:colOff>
      <xdr:row>16</xdr:row>
      <xdr:rowOff>66675</xdr:rowOff>
    </xdr:to>
    <xdr:pic>
      <xdr:nvPicPr>
        <xdr:cNvPr id="1378025" name="Рисунок 33" descr="СКЕ-Н 60-405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66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ropbox/&#1044;&#1086;&#1082;&#1091;&#1084;&#1077;&#1085;&#1090;&#1099;/&#1055;&#1088;&#1072;&#1081;&#1089;&#1099;%20(&#1090;&#1086;&#1088;&#1075;&#1072;&#1096;&#1080;)/&#1044;&#1080;&#1083;&#1077;&#1088;&#1089;&#1082;&#1080;&#1081;%20&#1087;&#1088;&#1072;&#1081;&#1089;%20&#1086;&#1090;%2001.05.2014%20(&#1057;&#1082;&#1072;&#1081;&#1074;&#1077;&#1089;_&#1040;&#1072;&#1085;&#1083;&#1080;&#1090;&#1053;&#1077;&#1074;&#10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ropbox/&#1044;&#1086;&#1082;&#1091;&#1084;&#1077;&#1085;&#1090;&#1099;/&#1055;&#1088;&#1072;&#1081;&#1089;_&#1057;&#1082;&#1072;&#1081;&#1074;&#1077;&#1089;%20&#1086;&#1090;%2012.08.2015%20(&#1074;&#1077;&#1089;&#1099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ы валют"/>
      <sheetName val="Citizen"/>
      <sheetName val="Shinko (ViBRA)"/>
      <sheetName val="CAS"/>
      <sheetName val="Ohaus"/>
      <sheetName val="ADAM"/>
      <sheetName val="Acom"/>
      <sheetName val="Sartorius"/>
      <sheetName val="KETT"/>
      <sheetName val="Госметр"/>
      <sheetName val="Веста"/>
      <sheetName val="МАССА-К"/>
      <sheetName val="САРТОГОСМ"/>
      <sheetName val="Скейл"/>
      <sheetName val="Гири и наборы гирь"/>
    </sheetNames>
    <sheetDataSet>
      <sheetData sheetId="0">
        <row r="3">
          <cell r="B3">
            <v>47.867100000000001</v>
          </cell>
        </row>
        <row r="4">
          <cell r="B4">
            <v>35.798699999999997</v>
          </cell>
        </row>
        <row r="7">
          <cell r="B7">
            <v>36</v>
          </cell>
        </row>
        <row r="8">
          <cell r="B8">
            <v>36.335680499999995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ы валют"/>
      <sheetName val="Citizen"/>
      <sheetName val="Shinko (ViBRA)"/>
      <sheetName val="CAS"/>
      <sheetName val="AND"/>
      <sheetName val="Ohaus"/>
      <sheetName val="ADAM"/>
      <sheetName val="Acom"/>
      <sheetName val="Госметр"/>
      <sheetName val="МАССА-К"/>
      <sheetName val="САРТОГОСМ"/>
      <sheetName val="Sartorius"/>
      <sheetName val="Веста"/>
      <sheetName val="Скейл"/>
      <sheetName val="KETT"/>
      <sheetName val="Гири и наборы гирь"/>
    </sheetNames>
    <sheetDataSet>
      <sheetData sheetId="0" refreshError="1">
        <row r="3">
          <cell r="B3">
            <v>79.725200000000001</v>
          </cell>
        </row>
        <row r="4">
          <cell r="B4">
            <v>69.3142</v>
          </cell>
        </row>
        <row r="7">
          <cell r="B7">
            <v>69.5</v>
          </cell>
        </row>
        <row r="8">
          <cell r="B8">
            <v>70.353912999999991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2281" TargetMode="External"/><Relationship Id="rId13" Type="http://schemas.openxmlformats.org/officeDocument/2006/relationships/hyperlink" Target="http://skyves.ru/element/2286" TargetMode="External"/><Relationship Id="rId18" Type="http://schemas.openxmlformats.org/officeDocument/2006/relationships/hyperlink" Target="http://skyves.ru/element/2292" TargetMode="External"/><Relationship Id="rId3" Type="http://schemas.openxmlformats.org/officeDocument/2006/relationships/hyperlink" Target="http://skyves.ru/element/2276" TargetMode="External"/><Relationship Id="rId21" Type="http://schemas.openxmlformats.org/officeDocument/2006/relationships/hyperlink" Target="http://skyves.ru/element/2294" TargetMode="External"/><Relationship Id="rId7" Type="http://schemas.openxmlformats.org/officeDocument/2006/relationships/hyperlink" Target="http://skyves.ru/element/2280" TargetMode="External"/><Relationship Id="rId12" Type="http://schemas.openxmlformats.org/officeDocument/2006/relationships/hyperlink" Target="http://skyves.ru/element/2285" TargetMode="External"/><Relationship Id="rId17" Type="http://schemas.openxmlformats.org/officeDocument/2006/relationships/hyperlink" Target="http://skyves.ru/element/2291" TargetMode="External"/><Relationship Id="rId2" Type="http://schemas.openxmlformats.org/officeDocument/2006/relationships/hyperlink" Target="http://skyves.ru/element/2275" TargetMode="External"/><Relationship Id="rId16" Type="http://schemas.openxmlformats.org/officeDocument/2006/relationships/hyperlink" Target="http://skyves.ru/element/2290" TargetMode="External"/><Relationship Id="rId20" Type="http://schemas.openxmlformats.org/officeDocument/2006/relationships/hyperlink" Target="http://skyves.ru/element/2295" TargetMode="External"/><Relationship Id="rId1" Type="http://schemas.openxmlformats.org/officeDocument/2006/relationships/hyperlink" Target="http://skyves.ru/element/2274" TargetMode="External"/><Relationship Id="rId6" Type="http://schemas.openxmlformats.org/officeDocument/2006/relationships/hyperlink" Target="http://skyves.ru/element/2279" TargetMode="External"/><Relationship Id="rId11" Type="http://schemas.openxmlformats.org/officeDocument/2006/relationships/hyperlink" Target="http://skyves.ru/element/2284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skyves.ru/element/2278" TargetMode="External"/><Relationship Id="rId15" Type="http://schemas.openxmlformats.org/officeDocument/2006/relationships/hyperlink" Target="http://skyves.ru/element/2288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://skyves.ru/element/2283" TargetMode="External"/><Relationship Id="rId19" Type="http://schemas.openxmlformats.org/officeDocument/2006/relationships/hyperlink" Target="http://skyves.ru/element/2293" TargetMode="External"/><Relationship Id="rId4" Type="http://schemas.openxmlformats.org/officeDocument/2006/relationships/hyperlink" Target="http://skyves.ru/element/2277" TargetMode="External"/><Relationship Id="rId9" Type="http://schemas.openxmlformats.org/officeDocument/2006/relationships/hyperlink" Target="http://skyves.ru/element/2282" TargetMode="External"/><Relationship Id="rId14" Type="http://schemas.openxmlformats.org/officeDocument/2006/relationships/hyperlink" Target="http://skyves.ru/element/2287" TargetMode="External"/><Relationship Id="rId22" Type="http://schemas.openxmlformats.org/officeDocument/2006/relationships/hyperlink" Target="http://skyves.ru/element/228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2130" TargetMode="External"/><Relationship Id="rId13" Type="http://schemas.openxmlformats.org/officeDocument/2006/relationships/hyperlink" Target="http://skyves.ru/element/2135" TargetMode="External"/><Relationship Id="rId18" Type="http://schemas.openxmlformats.org/officeDocument/2006/relationships/hyperlink" Target="http://skyves.ru/element/2140" TargetMode="External"/><Relationship Id="rId3" Type="http://schemas.openxmlformats.org/officeDocument/2006/relationships/hyperlink" Target="http://skyves.ru/element/2125" TargetMode="External"/><Relationship Id="rId7" Type="http://schemas.openxmlformats.org/officeDocument/2006/relationships/hyperlink" Target="http://skyves.ru/element/2129" TargetMode="External"/><Relationship Id="rId12" Type="http://schemas.openxmlformats.org/officeDocument/2006/relationships/hyperlink" Target="http://skyves.ru/element/2134" TargetMode="External"/><Relationship Id="rId17" Type="http://schemas.openxmlformats.org/officeDocument/2006/relationships/hyperlink" Target="http://skyves.ru/element/2139" TargetMode="External"/><Relationship Id="rId2" Type="http://schemas.openxmlformats.org/officeDocument/2006/relationships/hyperlink" Target="http://skyves.ru/element/2124" TargetMode="External"/><Relationship Id="rId16" Type="http://schemas.openxmlformats.org/officeDocument/2006/relationships/hyperlink" Target="http://skyves.ru/element/2138" TargetMode="External"/><Relationship Id="rId20" Type="http://schemas.openxmlformats.org/officeDocument/2006/relationships/drawing" Target="../drawings/drawing2.xml"/><Relationship Id="rId1" Type="http://schemas.openxmlformats.org/officeDocument/2006/relationships/hyperlink" Target="http://skyves.ru/element/2123" TargetMode="External"/><Relationship Id="rId6" Type="http://schemas.openxmlformats.org/officeDocument/2006/relationships/hyperlink" Target="http://skyves.ru/element/2128" TargetMode="External"/><Relationship Id="rId11" Type="http://schemas.openxmlformats.org/officeDocument/2006/relationships/hyperlink" Target="http://skyves.ru/element/2133" TargetMode="External"/><Relationship Id="rId5" Type="http://schemas.openxmlformats.org/officeDocument/2006/relationships/hyperlink" Target="http://skyves.ru/element/2127" TargetMode="External"/><Relationship Id="rId15" Type="http://schemas.openxmlformats.org/officeDocument/2006/relationships/hyperlink" Target="http://skyves.ru/element/2137" TargetMode="External"/><Relationship Id="rId10" Type="http://schemas.openxmlformats.org/officeDocument/2006/relationships/hyperlink" Target="http://skyves.ru/element/2132" TargetMode="External"/><Relationship Id="rId19" Type="http://schemas.openxmlformats.org/officeDocument/2006/relationships/hyperlink" Target="http://skyves.ru/element/2141" TargetMode="External"/><Relationship Id="rId4" Type="http://schemas.openxmlformats.org/officeDocument/2006/relationships/hyperlink" Target="http://skyves.ru/element/2126" TargetMode="External"/><Relationship Id="rId9" Type="http://schemas.openxmlformats.org/officeDocument/2006/relationships/hyperlink" Target="http://skyves.ru/element/2131" TargetMode="External"/><Relationship Id="rId14" Type="http://schemas.openxmlformats.org/officeDocument/2006/relationships/hyperlink" Target="http://skyves.ru/element/213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1661" TargetMode="External"/><Relationship Id="rId13" Type="http://schemas.openxmlformats.org/officeDocument/2006/relationships/hyperlink" Target="http://skyves.ru/element/1666" TargetMode="External"/><Relationship Id="rId18" Type="http://schemas.openxmlformats.org/officeDocument/2006/relationships/hyperlink" Target="http://skyves.ru/element/1671" TargetMode="External"/><Relationship Id="rId26" Type="http://schemas.openxmlformats.org/officeDocument/2006/relationships/hyperlink" Target="http://skyves.ru/element/1679" TargetMode="External"/><Relationship Id="rId3" Type="http://schemas.openxmlformats.org/officeDocument/2006/relationships/hyperlink" Target="http://skyves.ru/element/1656" TargetMode="External"/><Relationship Id="rId21" Type="http://schemas.openxmlformats.org/officeDocument/2006/relationships/hyperlink" Target="http://skyves.ru/element/1674" TargetMode="External"/><Relationship Id="rId7" Type="http://schemas.openxmlformats.org/officeDocument/2006/relationships/hyperlink" Target="http://skyves.ru/element/1660" TargetMode="External"/><Relationship Id="rId12" Type="http://schemas.openxmlformats.org/officeDocument/2006/relationships/hyperlink" Target="http://skyves.ru/element/1665" TargetMode="External"/><Relationship Id="rId17" Type="http://schemas.openxmlformats.org/officeDocument/2006/relationships/hyperlink" Target="http://skyves.ru/element/1670" TargetMode="External"/><Relationship Id="rId25" Type="http://schemas.openxmlformats.org/officeDocument/2006/relationships/hyperlink" Target="http://skyves.ru/element/1678" TargetMode="External"/><Relationship Id="rId33" Type="http://schemas.openxmlformats.org/officeDocument/2006/relationships/drawing" Target="../drawings/drawing3.xml"/><Relationship Id="rId2" Type="http://schemas.openxmlformats.org/officeDocument/2006/relationships/hyperlink" Target="http://skyves.ru/element/1655" TargetMode="External"/><Relationship Id="rId16" Type="http://schemas.openxmlformats.org/officeDocument/2006/relationships/hyperlink" Target="http://skyves.ru/element/1669" TargetMode="External"/><Relationship Id="rId20" Type="http://schemas.openxmlformats.org/officeDocument/2006/relationships/hyperlink" Target="http://skyves.ru/element/1673" TargetMode="External"/><Relationship Id="rId29" Type="http://schemas.openxmlformats.org/officeDocument/2006/relationships/hyperlink" Target="http://skyves.ru/element/1682" TargetMode="External"/><Relationship Id="rId1" Type="http://schemas.openxmlformats.org/officeDocument/2006/relationships/hyperlink" Target="http://skyves.ru/element/1654" TargetMode="External"/><Relationship Id="rId6" Type="http://schemas.openxmlformats.org/officeDocument/2006/relationships/hyperlink" Target="http://skyves.ru/element/1659" TargetMode="External"/><Relationship Id="rId11" Type="http://schemas.openxmlformats.org/officeDocument/2006/relationships/hyperlink" Target="http://skyves.ru/element/1664" TargetMode="External"/><Relationship Id="rId24" Type="http://schemas.openxmlformats.org/officeDocument/2006/relationships/hyperlink" Target="http://skyves.ru/element/1677" TargetMode="External"/><Relationship Id="rId32" Type="http://schemas.openxmlformats.org/officeDocument/2006/relationships/hyperlink" Target="http://skyves.ru/element/1685" TargetMode="External"/><Relationship Id="rId5" Type="http://schemas.openxmlformats.org/officeDocument/2006/relationships/hyperlink" Target="http://skyves.ru/element/1658" TargetMode="External"/><Relationship Id="rId15" Type="http://schemas.openxmlformats.org/officeDocument/2006/relationships/hyperlink" Target="http://skyves.ru/element/1668" TargetMode="External"/><Relationship Id="rId23" Type="http://schemas.openxmlformats.org/officeDocument/2006/relationships/hyperlink" Target="http://skyves.ru/element/1676" TargetMode="External"/><Relationship Id="rId28" Type="http://schemas.openxmlformats.org/officeDocument/2006/relationships/hyperlink" Target="http://skyves.ru/element/1681" TargetMode="External"/><Relationship Id="rId10" Type="http://schemas.openxmlformats.org/officeDocument/2006/relationships/hyperlink" Target="http://skyves.ru/element/1663" TargetMode="External"/><Relationship Id="rId19" Type="http://schemas.openxmlformats.org/officeDocument/2006/relationships/hyperlink" Target="http://skyves.ru/element/1672" TargetMode="External"/><Relationship Id="rId31" Type="http://schemas.openxmlformats.org/officeDocument/2006/relationships/hyperlink" Target="http://skyves.ru/element/1684" TargetMode="External"/><Relationship Id="rId4" Type="http://schemas.openxmlformats.org/officeDocument/2006/relationships/hyperlink" Target="http://skyves.ru/element/1657" TargetMode="External"/><Relationship Id="rId9" Type="http://schemas.openxmlformats.org/officeDocument/2006/relationships/hyperlink" Target="http://skyves.ru/element/1662" TargetMode="External"/><Relationship Id="rId14" Type="http://schemas.openxmlformats.org/officeDocument/2006/relationships/hyperlink" Target="http://skyves.ru/element/1667" TargetMode="External"/><Relationship Id="rId22" Type="http://schemas.openxmlformats.org/officeDocument/2006/relationships/hyperlink" Target="http://skyves.ru/element/1675" TargetMode="External"/><Relationship Id="rId27" Type="http://schemas.openxmlformats.org/officeDocument/2006/relationships/hyperlink" Target="http://skyves.ru/element/1680" TargetMode="External"/><Relationship Id="rId30" Type="http://schemas.openxmlformats.org/officeDocument/2006/relationships/hyperlink" Target="http://skyves.ru/element/1683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skyves.ru/element/1801" TargetMode="External"/><Relationship Id="rId117" Type="http://schemas.openxmlformats.org/officeDocument/2006/relationships/hyperlink" Target="http://skyves.ru/element/2345" TargetMode="External"/><Relationship Id="rId21" Type="http://schemas.openxmlformats.org/officeDocument/2006/relationships/hyperlink" Target="http://skyves.ru/element/1798" TargetMode="External"/><Relationship Id="rId42" Type="http://schemas.openxmlformats.org/officeDocument/2006/relationships/hyperlink" Target="http://skyves.ru/element/1817" TargetMode="External"/><Relationship Id="rId47" Type="http://schemas.openxmlformats.org/officeDocument/2006/relationships/hyperlink" Target="http://skyves.ru/element/1971" TargetMode="External"/><Relationship Id="rId63" Type="http://schemas.openxmlformats.org/officeDocument/2006/relationships/hyperlink" Target="http://skyves.ru/element/2182" TargetMode="External"/><Relationship Id="rId68" Type="http://schemas.openxmlformats.org/officeDocument/2006/relationships/hyperlink" Target="http://skyves.ru/element/2193" TargetMode="External"/><Relationship Id="rId84" Type="http://schemas.openxmlformats.org/officeDocument/2006/relationships/hyperlink" Target="http://skyves.ru/element/2204" TargetMode="External"/><Relationship Id="rId89" Type="http://schemas.openxmlformats.org/officeDocument/2006/relationships/hyperlink" Target="http://skyves.ru/element/2201" TargetMode="External"/><Relationship Id="rId112" Type="http://schemas.openxmlformats.org/officeDocument/2006/relationships/hyperlink" Target="http://skyves.ru/element/348" TargetMode="External"/><Relationship Id="rId133" Type="http://schemas.openxmlformats.org/officeDocument/2006/relationships/hyperlink" Target="http://skyves.ru/element/2361" TargetMode="External"/><Relationship Id="rId138" Type="http://schemas.openxmlformats.org/officeDocument/2006/relationships/hyperlink" Target="http://skyves.ru/element/2366" TargetMode="External"/><Relationship Id="rId154" Type="http://schemas.openxmlformats.org/officeDocument/2006/relationships/hyperlink" Target="http://skyves.ru/element/2382" TargetMode="External"/><Relationship Id="rId16" Type="http://schemas.openxmlformats.org/officeDocument/2006/relationships/hyperlink" Target="http://skyves.ru/element/234" TargetMode="External"/><Relationship Id="rId107" Type="http://schemas.openxmlformats.org/officeDocument/2006/relationships/hyperlink" Target="http://skyves.ru/element/343" TargetMode="External"/><Relationship Id="rId11" Type="http://schemas.openxmlformats.org/officeDocument/2006/relationships/hyperlink" Target="http://skyves.ru/element/226" TargetMode="External"/><Relationship Id="rId32" Type="http://schemas.openxmlformats.org/officeDocument/2006/relationships/hyperlink" Target="http://skyves.ru/element/1807" TargetMode="External"/><Relationship Id="rId37" Type="http://schemas.openxmlformats.org/officeDocument/2006/relationships/hyperlink" Target="http://skyves.ru/element/1812" TargetMode="External"/><Relationship Id="rId53" Type="http://schemas.openxmlformats.org/officeDocument/2006/relationships/hyperlink" Target="http://skyves.ru/element/1977" TargetMode="External"/><Relationship Id="rId58" Type="http://schemas.openxmlformats.org/officeDocument/2006/relationships/hyperlink" Target="http://skyves.ru/element/2181" TargetMode="External"/><Relationship Id="rId74" Type="http://schemas.openxmlformats.org/officeDocument/2006/relationships/hyperlink" Target="http://skyves.ru/element/2186" TargetMode="External"/><Relationship Id="rId79" Type="http://schemas.openxmlformats.org/officeDocument/2006/relationships/hyperlink" Target="http://skyves.ru/element/2192" TargetMode="External"/><Relationship Id="rId102" Type="http://schemas.openxmlformats.org/officeDocument/2006/relationships/hyperlink" Target="http://skyves.ru/element/40" TargetMode="External"/><Relationship Id="rId123" Type="http://schemas.openxmlformats.org/officeDocument/2006/relationships/hyperlink" Target="http://skyves.ru/element/2350" TargetMode="External"/><Relationship Id="rId128" Type="http://schemas.openxmlformats.org/officeDocument/2006/relationships/hyperlink" Target="http://skyves.ru/element/2356" TargetMode="External"/><Relationship Id="rId144" Type="http://schemas.openxmlformats.org/officeDocument/2006/relationships/hyperlink" Target="http://skyves.ru/element/2372" TargetMode="External"/><Relationship Id="rId149" Type="http://schemas.openxmlformats.org/officeDocument/2006/relationships/hyperlink" Target="http://skyves.ru/element/2377" TargetMode="External"/><Relationship Id="rId5" Type="http://schemas.openxmlformats.org/officeDocument/2006/relationships/hyperlink" Target="http://skyves.ru/element/27" TargetMode="External"/><Relationship Id="rId90" Type="http://schemas.openxmlformats.org/officeDocument/2006/relationships/hyperlink" Target="http://skyves.ru/element/2198" TargetMode="External"/><Relationship Id="rId95" Type="http://schemas.openxmlformats.org/officeDocument/2006/relationships/hyperlink" Target="http://skyves.ru/element/2299" TargetMode="External"/><Relationship Id="rId22" Type="http://schemas.openxmlformats.org/officeDocument/2006/relationships/hyperlink" Target="http://skyves.ru/element/1795" TargetMode="External"/><Relationship Id="rId27" Type="http://schemas.openxmlformats.org/officeDocument/2006/relationships/hyperlink" Target="http://skyves.ru/element/1802" TargetMode="External"/><Relationship Id="rId43" Type="http://schemas.openxmlformats.org/officeDocument/2006/relationships/hyperlink" Target="http://skyves.ru/element/1967" TargetMode="External"/><Relationship Id="rId48" Type="http://schemas.openxmlformats.org/officeDocument/2006/relationships/hyperlink" Target="http://skyves.ru/element/1972" TargetMode="External"/><Relationship Id="rId64" Type="http://schemas.openxmlformats.org/officeDocument/2006/relationships/hyperlink" Target="http://skyves.ru/element/2179" TargetMode="External"/><Relationship Id="rId69" Type="http://schemas.openxmlformats.org/officeDocument/2006/relationships/hyperlink" Target="http://skyves.ru/element/2194" TargetMode="External"/><Relationship Id="rId113" Type="http://schemas.openxmlformats.org/officeDocument/2006/relationships/hyperlink" Target="http://skyves.ru/element/350" TargetMode="External"/><Relationship Id="rId118" Type="http://schemas.openxmlformats.org/officeDocument/2006/relationships/hyperlink" Target="http://skyves.ru/element/2346" TargetMode="External"/><Relationship Id="rId134" Type="http://schemas.openxmlformats.org/officeDocument/2006/relationships/hyperlink" Target="http://skyves.ru/element/2362" TargetMode="External"/><Relationship Id="rId139" Type="http://schemas.openxmlformats.org/officeDocument/2006/relationships/hyperlink" Target="http://skyves.ru/element/2367" TargetMode="External"/><Relationship Id="rId80" Type="http://schemas.openxmlformats.org/officeDocument/2006/relationships/hyperlink" Target="http://skyves.ru/element/2205" TargetMode="External"/><Relationship Id="rId85" Type="http://schemas.openxmlformats.org/officeDocument/2006/relationships/hyperlink" Target="http://skyves.ru/element/2207" TargetMode="External"/><Relationship Id="rId150" Type="http://schemas.openxmlformats.org/officeDocument/2006/relationships/hyperlink" Target="http://skyves.ru/element/2378" TargetMode="External"/><Relationship Id="rId155" Type="http://schemas.openxmlformats.org/officeDocument/2006/relationships/hyperlink" Target="http://skyves.ru/element/2383" TargetMode="External"/><Relationship Id="rId12" Type="http://schemas.openxmlformats.org/officeDocument/2006/relationships/hyperlink" Target="http://skyves.ru/element/232" TargetMode="External"/><Relationship Id="rId17" Type="http://schemas.openxmlformats.org/officeDocument/2006/relationships/hyperlink" Target="http://skyves.ru/element/47" TargetMode="External"/><Relationship Id="rId33" Type="http://schemas.openxmlformats.org/officeDocument/2006/relationships/hyperlink" Target="http://skyves.ru/element/1808" TargetMode="External"/><Relationship Id="rId38" Type="http://schemas.openxmlformats.org/officeDocument/2006/relationships/hyperlink" Target="http://skyves.ru/element/1813" TargetMode="External"/><Relationship Id="rId59" Type="http://schemas.openxmlformats.org/officeDocument/2006/relationships/hyperlink" Target="http://skyves.ru/element/2183" TargetMode="External"/><Relationship Id="rId103" Type="http://schemas.openxmlformats.org/officeDocument/2006/relationships/hyperlink" Target="http://skyves.ru/element/1596" TargetMode="External"/><Relationship Id="rId108" Type="http://schemas.openxmlformats.org/officeDocument/2006/relationships/hyperlink" Target="http://skyves.ru/element/344" TargetMode="External"/><Relationship Id="rId124" Type="http://schemas.openxmlformats.org/officeDocument/2006/relationships/hyperlink" Target="http://skyves.ru/element/2352" TargetMode="External"/><Relationship Id="rId129" Type="http://schemas.openxmlformats.org/officeDocument/2006/relationships/hyperlink" Target="http://skyves.ru/element/2357" TargetMode="External"/><Relationship Id="rId20" Type="http://schemas.openxmlformats.org/officeDocument/2006/relationships/hyperlink" Target="http://skyves.ru/element/1797" TargetMode="External"/><Relationship Id="rId41" Type="http://schemas.openxmlformats.org/officeDocument/2006/relationships/hyperlink" Target="http://skyves.ru/element/1816" TargetMode="External"/><Relationship Id="rId54" Type="http://schemas.openxmlformats.org/officeDocument/2006/relationships/hyperlink" Target="http://skyves.ru/element/1978" TargetMode="External"/><Relationship Id="rId62" Type="http://schemas.openxmlformats.org/officeDocument/2006/relationships/hyperlink" Target="http://skyves.ru/element/2178" TargetMode="External"/><Relationship Id="rId70" Type="http://schemas.openxmlformats.org/officeDocument/2006/relationships/hyperlink" Target="http://skyves.ru/element/2197" TargetMode="External"/><Relationship Id="rId75" Type="http://schemas.openxmlformats.org/officeDocument/2006/relationships/hyperlink" Target="http://skyves.ru/element/2190" TargetMode="External"/><Relationship Id="rId83" Type="http://schemas.openxmlformats.org/officeDocument/2006/relationships/hyperlink" Target="http://skyves.ru/element/2203" TargetMode="External"/><Relationship Id="rId88" Type="http://schemas.openxmlformats.org/officeDocument/2006/relationships/hyperlink" Target="http://skyves.ru/element/2199" TargetMode="External"/><Relationship Id="rId91" Type="http://schemas.openxmlformats.org/officeDocument/2006/relationships/hyperlink" Target="http://skyves.ru/element/2209" TargetMode="External"/><Relationship Id="rId96" Type="http://schemas.openxmlformats.org/officeDocument/2006/relationships/hyperlink" Target="http://skyves.ru/element/2300" TargetMode="External"/><Relationship Id="rId111" Type="http://schemas.openxmlformats.org/officeDocument/2006/relationships/hyperlink" Target="http://skyves.ru/element/347" TargetMode="External"/><Relationship Id="rId132" Type="http://schemas.openxmlformats.org/officeDocument/2006/relationships/hyperlink" Target="http://skyves.ru/element/2360" TargetMode="External"/><Relationship Id="rId140" Type="http://schemas.openxmlformats.org/officeDocument/2006/relationships/hyperlink" Target="http://skyves.ru/element/2368" TargetMode="External"/><Relationship Id="rId145" Type="http://schemas.openxmlformats.org/officeDocument/2006/relationships/hyperlink" Target="http://skyves.ru/element/2373" TargetMode="External"/><Relationship Id="rId153" Type="http://schemas.openxmlformats.org/officeDocument/2006/relationships/hyperlink" Target="http://skyves.ru/element/2381" TargetMode="External"/><Relationship Id="rId1" Type="http://schemas.openxmlformats.org/officeDocument/2006/relationships/hyperlink" Target="http://skyves.ru/element/23" TargetMode="External"/><Relationship Id="rId6" Type="http://schemas.openxmlformats.org/officeDocument/2006/relationships/hyperlink" Target="http://skyves.ru/element/28" TargetMode="External"/><Relationship Id="rId15" Type="http://schemas.openxmlformats.org/officeDocument/2006/relationships/hyperlink" Target="http://skyves.ru/element/228" TargetMode="External"/><Relationship Id="rId23" Type="http://schemas.openxmlformats.org/officeDocument/2006/relationships/hyperlink" Target="http://skyves.ru/element/1796" TargetMode="External"/><Relationship Id="rId28" Type="http://schemas.openxmlformats.org/officeDocument/2006/relationships/hyperlink" Target="http://skyves.ru/element/1803" TargetMode="External"/><Relationship Id="rId36" Type="http://schemas.openxmlformats.org/officeDocument/2006/relationships/hyperlink" Target="http://skyves.ru/element/1811" TargetMode="External"/><Relationship Id="rId49" Type="http://schemas.openxmlformats.org/officeDocument/2006/relationships/hyperlink" Target="http://skyves.ru/element/1973" TargetMode="External"/><Relationship Id="rId57" Type="http://schemas.openxmlformats.org/officeDocument/2006/relationships/hyperlink" Target="http://skyves.ru/element/2185" TargetMode="External"/><Relationship Id="rId106" Type="http://schemas.openxmlformats.org/officeDocument/2006/relationships/hyperlink" Target="http://skyves.ru/element/342" TargetMode="External"/><Relationship Id="rId114" Type="http://schemas.openxmlformats.org/officeDocument/2006/relationships/hyperlink" Target="http://skyves.ru/element/349" TargetMode="External"/><Relationship Id="rId119" Type="http://schemas.openxmlformats.org/officeDocument/2006/relationships/hyperlink" Target="http://skyves.ru/element/2347" TargetMode="External"/><Relationship Id="rId127" Type="http://schemas.openxmlformats.org/officeDocument/2006/relationships/hyperlink" Target="http://skyves.ru/element/2355" TargetMode="External"/><Relationship Id="rId10" Type="http://schemas.openxmlformats.org/officeDocument/2006/relationships/hyperlink" Target="http://skyves.ru/element/231" TargetMode="External"/><Relationship Id="rId31" Type="http://schemas.openxmlformats.org/officeDocument/2006/relationships/hyperlink" Target="http://skyves.ru/element/1806" TargetMode="External"/><Relationship Id="rId44" Type="http://schemas.openxmlformats.org/officeDocument/2006/relationships/hyperlink" Target="http://skyves.ru/element/1968" TargetMode="External"/><Relationship Id="rId52" Type="http://schemas.openxmlformats.org/officeDocument/2006/relationships/hyperlink" Target="http://skyves.ru/element/1976" TargetMode="External"/><Relationship Id="rId60" Type="http://schemas.openxmlformats.org/officeDocument/2006/relationships/hyperlink" Target="http://skyves.ru/element/2176" TargetMode="External"/><Relationship Id="rId65" Type="http://schemas.openxmlformats.org/officeDocument/2006/relationships/hyperlink" Target="http://skyves.ru/element/2174" TargetMode="External"/><Relationship Id="rId73" Type="http://schemas.openxmlformats.org/officeDocument/2006/relationships/hyperlink" Target="http://skyves.ru/element/2189" TargetMode="External"/><Relationship Id="rId78" Type="http://schemas.openxmlformats.org/officeDocument/2006/relationships/hyperlink" Target="http://skyves.ru/element/2187" TargetMode="External"/><Relationship Id="rId81" Type="http://schemas.openxmlformats.org/officeDocument/2006/relationships/hyperlink" Target="http://skyves.ru/element/2208" TargetMode="External"/><Relationship Id="rId86" Type="http://schemas.openxmlformats.org/officeDocument/2006/relationships/hyperlink" Target="http://skyves.ru/element/2200" TargetMode="External"/><Relationship Id="rId94" Type="http://schemas.openxmlformats.org/officeDocument/2006/relationships/hyperlink" Target="http://skyves.ru/element/2298" TargetMode="External"/><Relationship Id="rId99" Type="http://schemas.openxmlformats.org/officeDocument/2006/relationships/hyperlink" Target="http://skyves.ru/element/2303" TargetMode="External"/><Relationship Id="rId101" Type="http://schemas.openxmlformats.org/officeDocument/2006/relationships/hyperlink" Target="http://skyves.ru/element/39" TargetMode="External"/><Relationship Id="rId122" Type="http://schemas.openxmlformats.org/officeDocument/2006/relationships/hyperlink" Target="http://skyves.ru/element/2348" TargetMode="External"/><Relationship Id="rId130" Type="http://schemas.openxmlformats.org/officeDocument/2006/relationships/hyperlink" Target="http://skyves.ru/element/2358" TargetMode="External"/><Relationship Id="rId135" Type="http://schemas.openxmlformats.org/officeDocument/2006/relationships/hyperlink" Target="http://skyves.ru/element/2363" TargetMode="External"/><Relationship Id="rId143" Type="http://schemas.openxmlformats.org/officeDocument/2006/relationships/hyperlink" Target="http://skyves.ru/element/2371" TargetMode="External"/><Relationship Id="rId148" Type="http://schemas.openxmlformats.org/officeDocument/2006/relationships/hyperlink" Target="http://skyves.ru/element/2376" TargetMode="External"/><Relationship Id="rId151" Type="http://schemas.openxmlformats.org/officeDocument/2006/relationships/hyperlink" Target="http://skyves.ru/element/2379" TargetMode="External"/><Relationship Id="rId156" Type="http://schemas.openxmlformats.org/officeDocument/2006/relationships/hyperlink" Target="http://skyves.ru/element/2384" TargetMode="External"/><Relationship Id="rId4" Type="http://schemas.openxmlformats.org/officeDocument/2006/relationships/hyperlink" Target="http://skyves.ru/element/26" TargetMode="External"/><Relationship Id="rId9" Type="http://schemas.openxmlformats.org/officeDocument/2006/relationships/hyperlink" Target="http://skyves.ru/element/225" TargetMode="External"/><Relationship Id="rId13" Type="http://schemas.openxmlformats.org/officeDocument/2006/relationships/hyperlink" Target="http://skyves.ru/element/227" TargetMode="External"/><Relationship Id="rId18" Type="http://schemas.openxmlformats.org/officeDocument/2006/relationships/hyperlink" Target="http://skyves.ru/element/48" TargetMode="External"/><Relationship Id="rId39" Type="http://schemas.openxmlformats.org/officeDocument/2006/relationships/hyperlink" Target="http://skyves.ru/element/1814" TargetMode="External"/><Relationship Id="rId109" Type="http://schemas.openxmlformats.org/officeDocument/2006/relationships/hyperlink" Target="http://skyves.ru/element/345" TargetMode="External"/><Relationship Id="rId34" Type="http://schemas.openxmlformats.org/officeDocument/2006/relationships/hyperlink" Target="http://skyves.ru/element/1809" TargetMode="External"/><Relationship Id="rId50" Type="http://schemas.openxmlformats.org/officeDocument/2006/relationships/hyperlink" Target="http://skyves.ru/element/1974" TargetMode="External"/><Relationship Id="rId55" Type="http://schemas.openxmlformats.org/officeDocument/2006/relationships/hyperlink" Target="http://skyves.ru/element/2152" TargetMode="External"/><Relationship Id="rId76" Type="http://schemas.openxmlformats.org/officeDocument/2006/relationships/hyperlink" Target="http://skyves.ru/element/2196" TargetMode="External"/><Relationship Id="rId97" Type="http://schemas.openxmlformats.org/officeDocument/2006/relationships/hyperlink" Target="http://skyves.ru/element/2301" TargetMode="External"/><Relationship Id="rId104" Type="http://schemas.openxmlformats.org/officeDocument/2006/relationships/hyperlink" Target="http://skyves.ru/element/1597" TargetMode="External"/><Relationship Id="rId120" Type="http://schemas.openxmlformats.org/officeDocument/2006/relationships/hyperlink" Target="http://skyves.ru/element/2349" TargetMode="External"/><Relationship Id="rId125" Type="http://schemas.openxmlformats.org/officeDocument/2006/relationships/hyperlink" Target="http://skyves.ru/element/2353" TargetMode="External"/><Relationship Id="rId141" Type="http://schemas.openxmlformats.org/officeDocument/2006/relationships/hyperlink" Target="http://skyves.ru/element/2369" TargetMode="External"/><Relationship Id="rId146" Type="http://schemas.openxmlformats.org/officeDocument/2006/relationships/hyperlink" Target="http://skyves.ru/element/2374" TargetMode="External"/><Relationship Id="rId7" Type="http://schemas.openxmlformats.org/officeDocument/2006/relationships/hyperlink" Target="http://skyves.ru/element/224" TargetMode="External"/><Relationship Id="rId71" Type="http://schemas.openxmlformats.org/officeDocument/2006/relationships/hyperlink" Target="http://skyves.ru/element/2195" TargetMode="External"/><Relationship Id="rId92" Type="http://schemas.openxmlformats.org/officeDocument/2006/relationships/hyperlink" Target="http://skyves.ru/element/2296" TargetMode="External"/><Relationship Id="rId2" Type="http://schemas.openxmlformats.org/officeDocument/2006/relationships/hyperlink" Target="http://skyves.ru/element/24" TargetMode="External"/><Relationship Id="rId29" Type="http://schemas.openxmlformats.org/officeDocument/2006/relationships/hyperlink" Target="http://skyves.ru/element/1804" TargetMode="External"/><Relationship Id="rId24" Type="http://schemas.openxmlformats.org/officeDocument/2006/relationships/hyperlink" Target="http://skyves.ru/element/1799" TargetMode="External"/><Relationship Id="rId40" Type="http://schemas.openxmlformats.org/officeDocument/2006/relationships/hyperlink" Target="http://skyves.ru/element/1815" TargetMode="External"/><Relationship Id="rId45" Type="http://schemas.openxmlformats.org/officeDocument/2006/relationships/hyperlink" Target="http://skyves.ru/element/1969" TargetMode="External"/><Relationship Id="rId66" Type="http://schemas.openxmlformats.org/officeDocument/2006/relationships/hyperlink" Target="http://skyves.ru/element/2180" TargetMode="External"/><Relationship Id="rId87" Type="http://schemas.openxmlformats.org/officeDocument/2006/relationships/hyperlink" Target="http://skyves.ru/element/2202" TargetMode="External"/><Relationship Id="rId110" Type="http://schemas.openxmlformats.org/officeDocument/2006/relationships/hyperlink" Target="http://skyves.ru/element/346" TargetMode="External"/><Relationship Id="rId115" Type="http://schemas.openxmlformats.org/officeDocument/2006/relationships/hyperlink" Target="http://skyves.ru/element/351" TargetMode="External"/><Relationship Id="rId131" Type="http://schemas.openxmlformats.org/officeDocument/2006/relationships/hyperlink" Target="http://skyves.ru/element/2359" TargetMode="External"/><Relationship Id="rId136" Type="http://schemas.openxmlformats.org/officeDocument/2006/relationships/hyperlink" Target="http://skyves.ru/element/2364" TargetMode="External"/><Relationship Id="rId157" Type="http://schemas.openxmlformats.org/officeDocument/2006/relationships/printerSettings" Target="../printerSettings/printerSettings3.bin"/><Relationship Id="rId61" Type="http://schemas.openxmlformats.org/officeDocument/2006/relationships/hyperlink" Target="http://skyves.ru/element/2177" TargetMode="External"/><Relationship Id="rId82" Type="http://schemas.openxmlformats.org/officeDocument/2006/relationships/hyperlink" Target="http://skyves.ru/element/2206" TargetMode="External"/><Relationship Id="rId152" Type="http://schemas.openxmlformats.org/officeDocument/2006/relationships/hyperlink" Target="http://skyves.ru/element/2380" TargetMode="External"/><Relationship Id="rId19" Type="http://schemas.openxmlformats.org/officeDocument/2006/relationships/hyperlink" Target="http://skyves.ru/element/1794" TargetMode="External"/><Relationship Id="rId14" Type="http://schemas.openxmlformats.org/officeDocument/2006/relationships/hyperlink" Target="http://skyves.ru/element/233" TargetMode="External"/><Relationship Id="rId30" Type="http://schemas.openxmlformats.org/officeDocument/2006/relationships/hyperlink" Target="http://skyves.ru/element/1805" TargetMode="External"/><Relationship Id="rId35" Type="http://schemas.openxmlformats.org/officeDocument/2006/relationships/hyperlink" Target="http://skyves.ru/element/1810" TargetMode="External"/><Relationship Id="rId56" Type="http://schemas.openxmlformats.org/officeDocument/2006/relationships/hyperlink" Target="http://skyves.ru/element/2184" TargetMode="External"/><Relationship Id="rId77" Type="http://schemas.openxmlformats.org/officeDocument/2006/relationships/hyperlink" Target="http://skyves.ru/element/2191" TargetMode="External"/><Relationship Id="rId100" Type="http://schemas.openxmlformats.org/officeDocument/2006/relationships/hyperlink" Target="http://skyves.ru/element/38" TargetMode="External"/><Relationship Id="rId105" Type="http://schemas.openxmlformats.org/officeDocument/2006/relationships/hyperlink" Target="http://skyves.ru/element/1598" TargetMode="External"/><Relationship Id="rId126" Type="http://schemas.openxmlformats.org/officeDocument/2006/relationships/hyperlink" Target="http://skyves.ru/element/2354" TargetMode="External"/><Relationship Id="rId147" Type="http://schemas.openxmlformats.org/officeDocument/2006/relationships/hyperlink" Target="http://skyves.ru/element/2375" TargetMode="External"/><Relationship Id="rId8" Type="http://schemas.openxmlformats.org/officeDocument/2006/relationships/hyperlink" Target="http://skyves.ru/element/230" TargetMode="External"/><Relationship Id="rId51" Type="http://schemas.openxmlformats.org/officeDocument/2006/relationships/hyperlink" Target="http://skyves.ru/element/1975" TargetMode="External"/><Relationship Id="rId72" Type="http://schemas.openxmlformats.org/officeDocument/2006/relationships/hyperlink" Target="http://skyves.ru/element/2188" TargetMode="External"/><Relationship Id="rId93" Type="http://schemas.openxmlformats.org/officeDocument/2006/relationships/hyperlink" Target="http://skyves.ru/element/2297" TargetMode="External"/><Relationship Id="rId98" Type="http://schemas.openxmlformats.org/officeDocument/2006/relationships/hyperlink" Target="http://skyves.ru/element/2302" TargetMode="External"/><Relationship Id="rId121" Type="http://schemas.openxmlformats.org/officeDocument/2006/relationships/hyperlink" Target="http://skyves.ru/element/2351" TargetMode="External"/><Relationship Id="rId142" Type="http://schemas.openxmlformats.org/officeDocument/2006/relationships/hyperlink" Target="http://skyves.ru/element/2370" TargetMode="External"/><Relationship Id="rId3" Type="http://schemas.openxmlformats.org/officeDocument/2006/relationships/hyperlink" Target="http://skyves.ru/element/25" TargetMode="External"/><Relationship Id="rId25" Type="http://schemas.openxmlformats.org/officeDocument/2006/relationships/hyperlink" Target="http://skyves.ru/element/1800" TargetMode="External"/><Relationship Id="rId46" Type="http://schemas.openxmlformats.org/officeDocument/2006/relationships/hyperlink" Target="http://skyves.ru/element/1970" TargetMode="External"/><Relationship Id="rId67" Type="http://schemas.openxmlformats.org/officeDocument/2006/relationships/hyperlink" Target="http://skyves.ru/element/2175" TargetMode="External"/><Relationship Id="rId116" Type="http://schemas.openxmlformats.org/officeDocument/2006/relationships/hyperlink" Target="http://skyves.ru/element/2344" TargetMode="External"/><Relationship Id="rId137" Type="http://schemas.openxmlformats.org/officeDocument/2006/relationships/hyperlink" Target="http://skyves.ru/element/2365" TargetMode="External"/><Relationship Id="rId158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://skyves.ru/element/83" TargetMode="External"/><Relationship Id="rId117" Type="http://schemas.openxmlformats.org/officeDocument/2006/relationships/hyperlink" Target="http://skyves.ru/element/2316" TargetMode="External"/><Relationship Id="rId21" Type="http://schemas.openxmlformats.org/officeDocument/2006/relationships/hyperlink" Target="http://skyves.ru/element/79" TargetMode="External"/><Relationship Id="rId42" Type="http://schemas.openxmlformats.org/officeDocument/2006/relationships/hyperlink" Target="http://skyves.ru/element/159" TargetMode="External"/><Relationship Id="rId47" Type="http://schemas.openxmlformats.org/officeDocument/2006/relationships/hyperlink" Target="http://skyves.ru/element/166" TargetMode="External"/><Relationship Id="rId63" Type="http://schemas.openxmlformats.org/officeDocument/2006/relationships/hyperlink" Target="http://skyves.ru/element/180" TargetMode="External"/><Relationship Id="rId68" Type="http://schemas.openxmlformats.org/officeDocument/2006/relationships/hyperlink" Target="http://skyves.ru/element/1382" TargetMode="External"/><Relationship Id="rId84" Type="http://schemas.openxmlformats.org/officeDocument/2006/relationships/hyperlink" Target="http://skyves.ru/element/106" TargetMode="External"/><Relationship Id="rId89" Type="http://schemas.openxmlformats.org/officeDocument/2006/relationships/hyperlink" Target="http://skyves.ru/element/116" TargetMode="External"/><Relationship Id="rId112" Type="http://schemas.openxmlformats.org/officeDocument/2006/relationships/hyperlink" Target="http://skyves.ru/element/2311" TargetMode="External"/><Relationship Id="rId16" Type="http://schemas.openxmlformats.org/officeDocument/2006/relationships/hyperlink" Target="http://skyves.ru/element/64" TargetMode="External"/><Relationship Id="rId107" Type="http://schemas.openxmlformats.org/officeDocument/2006/relationships/hyperlink" Target="http://skyves.ru/element/2306" TargetMode="External"/><Relationship Id="rId11" Type="http://schemas.openxmlformats.org/officeDocument/2006/relationships/hyperlink" Target="http://skyves.ru/element/61" TargetMode="External"/><Relationship Id="rId32" Type="http://schemas.openxmlformats.org/officeDocument/2006/relationships/hyperlink" Target="http://skyves.ru/element/90" TargetMode="External"/><Relationship Id="rId37" Type="http://schemas.openxmlformats.org/officeDocument/2006/relationships/hyperlink" Target="http://skyves.ru/element/150" TargetMode="External"/><Relationship Id="rId53" Type="http://schemas.openxmlformats.org/officeDocument/2006/relationships/hyperlink" Target="http://skyves.ru/element/163" TargetMode="External"/><Relationship Id="rId58" Type="http://schemas.openxmlformats.org/officeDocument/2006/relationships/hyperlink" Target="http://skyves.ru/element/172" TargetMode="External"/><Relationship Id="rId74" Type="http://schemas.openxmlformats.org/officeDocument/2006/relationships/hyperlink" Target="http://skyves.ru/element/95" TargetMode="External"/><Relationship Id="rId79" Type="http://schemas.openxmlformats.org/officeDocument/2006/relationships/hyperlink" Target="http://skyves.ru/element/98" TargetMode="External"/><Relationship Id="rId102" Type="http://schemas.openxmlformats.org/officeDocument/2006/relationships/hyperlink" Target="http://skyves.ru/element/2024" TargetMode="External"/><Relationship Id="rId123" Type="http://schemas.openxmlformats.org/officeDocument/2006/relationships/hyperlink" Target="http://skyves.ru/element/2322" TargetMode="External"/><Relationship Id="rId5" Type="http://schemas.openxmlformats.org/officeDocument/2006/relationships/hyperlink" Target="http://skyves.ru/element/56" TargetMode="External"/><Relationship Id="rId61" Type="http://schemas.openxmlformats.org/officeDocument/2006/relationships/hyperlink" Target="http://skyves.ru/element/179" TargetMode="External"/><Relationship Id="rId82" Type="http://schemas.openxmlformats.org/officeDocument/2006/relationships/hyperlink" Target="http://skyves.ru/element/103" TargetMode="External"/><Relationship Id="rId90" Type="http://schemas.openxmlformats.org/officeDocument/2006/relationships/hyperlink" Target="http://skyves.ru/element/107" TargetMode="External"/><Relationship Id="rId95" Type="http://schemas.openxmlformats.org/officeDocument/2006/relationships/hyperlink" Target="http://skyves.ru/element/112" TargetMode="External"/><Relationship Id="rId19" Type="http://schemas.openxmlformats.org/officeDocument/2006/relationships/hyperlink" Target="http://skyves.ru/element/66" TargetMode="External"/><Relationship Id="rId14" Type="http://schemas.openxmlformats.org/officeDocument/2006/relationships/hyperlink" Target="http://skyves.ru/element/67" TargetMode="External"/><Relationship Id="rId22" Type="http://schemas.openxmlformats.org/officeDocument/2006/relationships/hyperlink" Target="http://skyves.ru/element/80" TargetMode="External"/><Relationship Id="rId27" Type="http://schemas.openxmlformats.org/officeDocument/2006/relationships/hyperlink" Target="http://skyves.ru/element/85" TargetMode="External"/><Relationship Id="rId30" Type="http://schemas.openxmlformats.org/officeDocument/2006/relationships/hyperlink" Target="http://skyves.ru/element/88" TargetMode="External"/><Relationship Id="rId35" Type="http://schemas.openxmlformats.org/officeDocument/2006/relationships/hyperlink" Target="http://skyves.ru/element/93" TargetMode="External"/><Relationship Id="rId43" Type="http://schemas.openxmlformats.org/officeDocument/2006/relationships/hyperlink" Target="http://skyves.ru/element/156" TargetMode="External"/><Relationship Id="rId48" Type="http://schemas.openxmlformats.org/officeDocument/2006/relationships/hyperlink" Target="http://skyves.ru/element/161" TargetMode="External"/><Relationship Id="rId56" Type="http://schemas.openxmlformats.org/officeDocument/2006/relationships/hyperlink" Target="http://skyves.ru/element/171" TargetMode="External"/><Relationship Id="rId64" Type="http://schemas.openxmlformats.org/officeDocument/2006/relationships/hyperlink" Target="http://skyves.ru/element/175" TargetMode="External"/><Relationship Id="rId69" Type="http://schemas.openxmlformats.org/officeDocument/2006/relationships/hyperlink" Target="http://skyves.ru/element/1384" TargetMode="External"/><Relationship Id="rId77" Type="http://schemas.openxmlformats.org/officeDocument/2006/relationships/hyperlink" Target="http://skyves.ru/element/99" TargetMode="External"/><Relationship Id="rId100" Type="http://schemas.openxmlformats.org/officeDocument/2006/relationships/hyperlink" Target="http://skyves.ru/element/2022" TargetMode="External"/><Relationship Id="rId105" Type="http://schemas.openxmlformats.org/officeDocument/2006/relationships/hyperlink" Target="http://skyves.ru/element/2027" TargetMode="External"/><Relationship Id="rId113" Type="http://schemas.openxmlformats.org/officeDocument/2006/relationships/hyperlink" Target="http://skyves.ru/element/2312" TargetMode="External"/><Relationship Id="rId118" Type="http://schemas.openxmlformats.org/officeDocument/2006/relationships/hyperlink" Target="http://skyves.ru/element/2317" TargetMode="External"/><Relationship Id="rId8" Type="http://schemas.openxmlformats.org/officeDocument/2006/relationships/hyperlink" Target="http://skyves.ru/element/58" TargetMode="External"/><Relationship Id="rId51" Type="http://schemas.openxmlformats.org/officeDocument/2006/relationships/hyperlink" Target="http://skyves.ru/element/177" TargetMode="External"/><Relationship Id="rId72" Type="http://schemas.openxmlformats.org/officeDocument/2006/relationships/hyperlink" Target="http://skyves.ru/element/1387" TargetMode="External"/><Relationship Id="rId80" Type="http://schemas.openxmlformats.org/officeDocument/2006/relationships/hyperlink" Target="http://skyves.ru/element/101" TargetMode="External"/><Relationship Id="rId85" Type="http://schemas.openxmlformats.org/officeDocument/2006/relationships/hyperlink" Target="http://skyves.ru/element/113" TargetMode="External"/><Relationship Id="rId93" Type="http://schemas.openxmlformats.org/officeDocument/2006/relationships/hyperlink" Target="http://skyves.ru/element/110" TargetMode="External"/><Relationship Id="rId98" Type="http://schemas.openxmlformats.org/officeDocument/2006/relationships/hyperlink" Target="http://skyves.ru/element/2020" TargetMode="External"/><Relationship Id="rId121" Type="http://schemas.openxmlformats.org/officeDocument/2006/relationships/hyperlink" Target="http://skyves.ru/element/2320" TargetMode="External"/><Relationship Id="rId3" Type="http://schemas.openxmlformats.org/officeDocument/2006/relationships/hyperlink" Target="http://skyves.ru/element/53" TargetMode="External"/><Relationship Id="rId12" Type="http://schemas.openxmlformats.org/officeDocument/2006/relationships/hyperlink" Target="http://skyves.ru/element/62" TargetMode="External"/><Relationship Id="rId17" Type="http://schemas.openxmlformats.org/officeDocument/2006/relationships/hyperlink" Target="http://skyves.ru/element/69" TargetMode="External"/><Relationship Id="rId25" Type="http://schemas.openxmlformats.org/officeDocument/2006/relationships/hyperlink" Target="http://skyves.ru/element/84" TargetMode="External"/><Relationship Id="rId33" Type="http://schemas.openxmlformats.org/officeDocument/2006/relationships/hyperlink" Target="http://skyves.ru/element/91" TargetMode="External"/><Relationship Id="rId38" Type="http://schemas.openxmlformats.org/officeDocument/2006/relationships/hyperlink" Target="http://skyves.ru/element/157" TargetMode="External"/><Relationship Id="rId46" Type="http://schemas.openxmlformats.org/officeDocument/2006/relationships/hyperlink" Target="http://skyves.ru/element/168" TargetMode="External"/><Relationship Id="rId59" Type="http://schemas.openxmlformats.org/officeDocument/2006/relationships/hyperlink" Target="http://skyves.ru/element/170" TargetMode="External"/><Relationship Id="rId67" Type="http://schemas.openxmlformats.org/officeDocument/2006/relationships/hyperlink" Target="http://skyves.ru/element/3" TargetMode="External"/><Relationship Id="rId103" Type="http://schemas.openxmlformats.org/officeDocument/2006/relationships/hyperlink" Target="http://skyves.ru/element/2025" TargetMode="External"/><Relationship Id="rId108" Type="http://schemas.openxmlformats.org/officeDocument/2006/relationships/hyperlink" Target="http://skyves.ru/element/2307" TargetMode="External"/><Relationship Id="rId116" Type="http://schemas.openxmlformats.org/officeDocument/2006/relationships/hyperlink" Target="http://skyves.ru/element/2315" TargetMode="External"/><Relationship Id="rId124" Type="http://schemas.openxmlformats.org/officeDocument/2006/relationships/printerSettings" Target="../printerSettings/printerSettings4.bin"/><Relationship Id="rId20" Type="http://schemas.openxmlformats.org/officeDocument/2006/relationships/hyperlink" Target="http://skyves.ru/element/78" TargetMode="External"/><Relationship Id="rId41" Type="http://schemas.openxmlformats.org/officeDocument/2006/relationships/hyperlink" Target="http://skyves.ru/element/155" TargetMode="External"/><Relationship Id="rId54" Type="http://schemas.openxmlformats.org/officeDocument/2006/relationships/hyperlink" Target="http://skyves.ru/element/178" TargetMode="External"/><Relationship Id="rId62" Type="http://schemas.openxmlformats.org/officeDocument/2006/relationships/hyperlink" Target="http://skyves.ru/element/165" TargetMode="External"/><Relationship Id="rId70" Type="http://schemas.openxmlformats.org/officeDocument/2006/relationships/hyperlink" Target="http://skyves.ru/element/1383" TargetMode="External"/><Relationship Id="rId75" Type="http://schemas.openxmlformats.org/officeDocument/2006/relationships/hyperlink" Target="http://skyves.ru/element/96" TargetMode="External"/><Relationship Id="rId83" Type="http://schemas.openxmlformats.org/officeDocument/2006/relationships/hyperlink" Target="http://skyves.ru/element/104" TargetMode="External"/><Relationship Id="rId88" Type="http://schemas.openxmlformats.org/officeDocument/2006/relationships/hyperlink" Target="http://skyves.ru/element/105" TargetMode="External"/><Relationship Id="rId91" Type="http://schemas.openxmlformats.org/officeDocument/2006/relationships/hyperlink" Target="http://skyves.ru/element/108" TargetMode="External"/><Relationship Id="rId96" Type="http://schemas.openxmlformats.org/officeDocument/2006/relationships/hyperlink" Target="http://skyves.ru/element/2018" TargetMode="External"/><Relationship Id="rId111" Type="http://schemas.openxmlformats.org/officeDocument/2006/relationships/hyperlink" Target="http://skyves.ru/element/2310" TargetMode="External"/><Relationship Id="rId1" Type="http://schemas.openxmlformats.org/officeDocument/2006/relationships/hyperlink" Target="http://skyves.ru/element/51" TargetMode="External"/><Relationship Id="rId6" Type="http://schemas.openxmlformats.org/officeDocument/2006/relationships/hyperlink" Target="http://skyves.ru/element/57" TargetMode="External"/><Relationship Id="rId15" Type="http://schemas.openxmlformats.org/officeDocument/2006/relationships/hyperlink" Target="http://skyves.ru/element/68" TargetMode="External"/><Relationship Id="rId23" Type="http://schemas.openxmlformats.org/officeDocument/2006/relationships/hyperlink" Target="http://skyves.ru/element/81" TargetMode="External"/><Relationship Id="rId28" Type="http://schemas.openxmlformats.org/officeDocument/2006/relationships/hyperlink" Target="http://skyves.ru/element/86" TargetMode="External"/><Relationship Id="rId36" Type="http://schemas.openxmlformats.org/officeDocument/2006/relationships/hyperlink" Target="http://skyves.ru/element/94" TargetMode="External"/><Relationship Id="rId49" Type="http://schemas.openxmlformats.org/officeDocument/2006/relationships/hyperlink" Target="http://skyves.ru/element/164" TargetMode="External"/><Relationship Id="rId57" Type="http://schemas.openxmlformats.org/officeDocument/2006/relationships/hyperlink" Target="http://skyves.ru/element/174" TargetMode="External"/><Relationship Id="rId106" Type="http://schemas.openxmlformats.org/officeDocument/2006/relationships/hyperlink" Target="http://skyves.ru/element/2305" TargetMode="External"/><Relationship Id="rId114" Type="http://schemas.openxmlformats.org/officeDocument/2006/relationships/hyperlink" Target="http://skyves.ru/element/2313" TargetMode="External"/><Relationship Id="rId119" Type="http://schemas.openxmlformats.org/officeDocument/2006/relationships/hyperlink" Target="http://skyves.ru/element/2318" TargetMode="External"/><Relationship Id="rId10" Type="http://schemas.openxmlformats.org/officeDocument/2006/relationships/hyperlink" Target="http://skyves.ru/element/60" TargetMode="External"/><Relationship Id="rId31" Type="http://schemas.openxmlformats.org/officeDocument/2006/relationships/hyperlink" Target="http://skyves.ru/element/89" TargetMode="External"/><Relationship Id="rId44" Type="http://schemas.openxmlformats.org/officeDocument/2006/relationships/hyperlink" Target="http://skyves.ru/element/160" TargetMode="External"/><Relationship Id="rId52" Type="http://schemas.openxmlformats.org/officeDocument/2006/relationships/hyperlink" Target="http://skyves.ru/element/169" TargetMode="External"/><Relationship Id="rId60" Type="http://schemas.openxmlformats.org/officeDocument/2006/relationships/hyperlink" Target="http://skyves.ru/element/173" TargetMode="External"/><Relationship Id="rId65" Type="http://schemas.openxmlformats.org/officeDocument/2006/relationships/hyperlink" Target="http://skyves.ru/element/1916" TargetMode="External"/><Relationship Id="rId73" Type="http://schemas.openxmlformats.org/officeDocument/2006/relationships/hyperlink" Target="http://skyves.ru/element/1385" TargetMode="External"/><Relationship Id="rId78" Type="http://schemas.openxmlformats.org/officeDocument/2006/relationships/hyperlink" Target="http://skyves.ru/element/100" TargetMode="External"/><Relationship Id="rId81" Type="http://schemas.openxmlformats.org/officeDocument/2006/relationships/hyperlink" Target="http://skyves.ru/element/102" TargetMode="External"/><Relationship Id="rId86" Type="http://schemas.openxmlformats.org/officeDocument/2006/relationships/hyperlink" Target="http://skyves.ru/element/114" TargetMode="External"/><Relationship Id="rId94" Type="http://schemas.openxmlformats.org/officeDocument/2006/relationships/hyperlink" Target="http://skyves.ru/element/111" TargetMode="External"/><Relationship Id="rId99" Type="http://schemas.openxmlformats.org/officeDocument/2006/relationships/hyperlink" Target="http://skyves.ru/element/2021" TargetMode="External"/><Relationship Id="rId101" Type="http://schemas.openxmlformats.org/officeDocument/2006/relationships/hyperlink" Target="http://skyves.ru/element/2023" TargetMode="External"/><Relationship Id="rId122" Type="http://schemas.openxmlformats.org/officeDocument/2006/relationships/hyperlink" Target="http://skyves.ru/element/2321" TargetMode="External"/><Relationship Id="rId4" Type="http://schemas.openxmlformats.org/officeDocument/2006/relationships/hyperlink" Target="http://skyves.ru/element/55" TargetMode="External"/><Relationship Id="rId9" Type="http://schemas.openxmlformats.org/officeDocument/2006/relationships/hyperlink" Target="http://skyves.ru/element/59" TargetMode="External"/><Relationship Id="rId13" Type="http://schemas.openxmlformats.org/officeDocument/2006/relationships/hyperlink" Target="http://skyves.ru/element/63" TargetMode="External"/><Relationship Id="rId18" Type="http://schemas.openxmlformats.org/officeDocument/2006/relationships/hyperlink" Target="http://skyves.ru/element/65" TargetMode="External"/><Relationship Id="rId39" Type="http://schemas.openxmlformats.org/officeDocument/2006/relationships/hyperlink" Target="http://skyves.ru/element/153" TargetMode="External"/><Relationship Id="rId109" Type="http://schemas.openxmlformats.org/officeDocument/2006/relationships/hyperlink" Target="http://skyves.ru/element/2308" TargetMode="External"/><Relationship Id="rId34" Type="http://schemas.openxmlformats.org/officeDocument/2006/relationships/hyperlink" Target="http://skyves.ru/element/92" TargetMode="External"/><Relationship Id="rId50" Type="http://schemas.openxmlformats.org/officeDocument/2006/relationships/hyperlink" Target="http://skyves.ru/element/162" TargetMode="External"/><Relationship Id="rId55" Type="http://schemas.openxmlformats.org/officeDocument/2006/relationships/hyperlink" Target="http://skyves.ru/element/176" TargetMode="External"/><Relationship Id="rId76" Type="http://schemas.openxmlformats.org/officeDocument/2006/relationships/hyperlink" Target="http://skyves.ru/element/97" TargetMode="External"/><Relationship Id="rId97" Type="http://schemas.openxmlformats.org/officeDocument/2006/relationships/hyperlink" Target="http://skyves.ru/element/2019" TargetMode="External"/><Relationship Id="rId104" Type="http://schemas.openxmlformats.org/officeDocument/2006/relationships/hyperlink" Target="http://skyves.ru/element/2026" TargetMode="External"/><Relationship Id="rId120" Type="http://schemas.openxmlformats.org/officeDocument/2006/relationships/hyperlink" Target="http://skyves.ru/element/2319" TargetMode="External"/><Relationship Id="rId125" Type="http://schemas.openxmlformats.org/officeDocument/2006/relationships/drawing" Target="../drawings/drawing5.xml"/><Relationship Id="rId7" Type="http://schemas.openxmlformats.org/officeDocument/2006/relationships/hyperlink" Target="http://skyves.ru/element/54" TargetMode="External"/><Relationship Id="rId71" Type="http://schemas.openxmlformats.org/officeDocument/2006/relationships/hyperlink" Target="http://skyves.ru/element/1386" TargetMode="External"/><Relationship Id="rId92" Type="http://schemas.openxmlformats.org/officeDocument/2006/relationships/hyperlink" Target="http://skyves.ru/element/109" TargetMode="External"/><Relationship Id="rId2" Type="http://schemas.openxmlformats.org/officeDocument/2006/relationships/hyperlink" Target="http://skyves.ru/element/52" TargetMode="External"/><Relationship Id="rId29" Type="http://schemas.openxmlformats.org/officeDocument/2006/relationships/hyperlink" Target="http://skyves.ru/element/87" TargetMode="External"/><Relationship Id="rId24" Type="http://schemas.openxmlformats.org/officeDocument/2006/relationships/hyperlink" Target="http://skyves.ru/element/82" TargetMode="External"/><Relationship Id="rId40" Type="http://schemas.openxmlformats.org/officeDocument/2006/relationships/hyperlink" Target="http://skyves.ru/element/158" TargetMode="External"/><Relationship Id="rId45" Type="http://schemas.openxmlformats.org/officeDocument/2006/relationships/hyperlink" Target="http://skyves.ru/element/167" TargetMode="External"/><Relationship Id="rId66" Type="http://schemas.openxmlformats.org/officeDocument/2006/relationships/hyperlink" Target="http://skyves.ru/element/2" TargetMode="External"/><Relationship Id="rId87" Type="http://schemas.openxmlformats.org/officeDocument/2006/relationships/hyperlink" Target="http://skyves.ru/element/115" TargetMode="External"/><Relationship Id="rId110" Type="http://schemas.openxmlformats.org/officeDocument/2006/relationships/hyperlink" Target="http://skyves.ru/element/2309" TargetMode="External"/><Relationship Id="rId115" Type="http://schemas.openxmlformats.org/officeDocument/2006/relationships/hyperlink" Target="http://skyves.ru/element/2314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skyves.ru/element/661" TargetMode="External"/><Relationship Id="rId117" Type="http://schemas.openxmlformats.org/officeDocument/2006/relationships/hyperlink" Target="http://skyves.ru/element/381" TargetMode="External"/><Relationship Id="rId21" Type="http://schemas.openxmlformats.org/officeDocument/2006/relationships/hyperlink" Target="http://skyves.ru/element/388" TargetMode="External"/><Relationship Id="rId42" Type="http://schemas.openxmlformats.org/officeDocument/2006/relationships/hyperlink" Target="http://skyves.ru/element/418" TargetMode="External"/><Relationship Id="rId47" Type="http://schemas.openxmlformats.org/officeDocument/2006/relationships/hyperlink" Target="http://skyves.ru/element/423" TargetMode="External"/><Relationship Id="rId63" Type="http://schemas.openxmlformats.org/officeDocument/2006/relationships/hyperlink" Target="http://skyves.ru/element/2046" TargetMode="External"/><Relationship Id="rId68" Type="http://schemas.openxmlformats.org/officeDocument/2006/relationships/hyperlink" Target="http://skyves.ru/element/285" TargetMode="External"/><Relationship Id="rId84" Type="http://schemas.openxmlformats.org/officeDocument/2006/relationships/hyperlink" Target="http://skyves.ru/element/1" TargetMode="External"/><Relationship Id="rId89" Type="http://schemas.openxmlformats.org/officeDocument/2006/relationships/hyperlink" Target="http://skyves.ru/element/198" TargetMode="External"/><Relationship Id="rId112" Type="http://schemas.openxmlformats.org/officeDocument/2006/relationships/hyperlink" Target="http://skyves.ru/element/279" TargetMode="External"/><Relationship Id="rId133" Type="http://schemas.openxmlformats.org/officeDocument/2006/relationships/hyperlink" Target="http://skyves.ru/element/2054" TargetMode="External"/><Relationship Id="rId138" Type="http://schemas.openxmlformats.org/officeDocument/2006/relationships/hyperlink" Target="http://skyves.ru/element/2059" TargetMode="External"/><Relationship Id="rId154" Type="http://schemas.openxmlformats.org/officeDocument/2006/relationships/hyperlink" Target="http://skyves.ru/element/2267" TargetMode="External"/><Relationship Id="rId159" Type="http://schemas.openxmlformats.org/officeDocument/2006/relationships/hyperlink" Target="http://skyves.ru/element/2272" TargetMode="External"/><Relationship Id="rId16" Type="http://schemas.openxmlformats.org/officeDocument/2006/relationships/hyperlink" Target="http://skyves.ru/element/376" TargetMode="External"/><Relationship Id="rId107" Type="http://schemas.openxmlformats.org/officeDocument/2006/relationships/hyperlink" Target="http://skyves.ru/element/367" TargetMode="External"/><Relationship Id="rId11" Type="http://schemas.openxmlformats.org/officeDocument/2006/relationships/hyperlink" Target="http://skyves.ru/element/383" TargetMode="External"/><Relationship Id="rId32" Type="http://schemas.openxmlformats.org/officeDocument/2006/relationships/hyperlink" Target="http://skyves.ru/element/2040" TargetMode="External"/><Relationship Id="rId37" Type="http://schemas.openxmlformats.org/officeDocument/2006/relationships/hyperlink" Target="http://skyves.ru/element/413" TargetMode="External"/><Relationship Id="rId53" Type="http://schemas.openxmlformats.org/officeDocument/2006/relationships/hyperlink" Target="http://skyves.ru/element/426" TargetMode="External"/><Relationship Id="rId58" Type="http://schemas.openxmlformats.org/officeDocument/2006/relationships/hyperlink" Target="http://skyves.ru/element/435" TargetMode="External"/><Relationship Id="rId74" Type="http://schemas.openxmlformats.org/officeDocument/2006/relationships/hyperlink" Target="http://skyves.ru/element/248" TargetMode="External"/><Relationship Id="rId79" Type="http://schemas.openxmlformats.org/officeDocument/2006/relationships/hyperlink" Target="http://skyves.ru/element/255" TargetMode="External"/><Relationship Id="rId102" Type="http://schemas.openxmlformats.org/officeDocument/2006/relationships/hyperlink" Target="http://skyves.ru/element/213" TargetMode="External"/><Relationship Id="rId123" Type="http://schemas.openxmlformats.org/officeDocument/2006/relationships/hyperlink" Target="http://skyves.ru/element/2036" TargetMode="External"/><Relationship Id="rId128" Type="http://schemas.openxmlformats.org/officeDocument/2006/relationships/hyperlink" Target="http://skyves.ru/element/2049" TargetMode="External"/><Relationship Id="rId144" Type="http://schemas.openxmlformats.org/officeDocument/2006/relationships/hyperlink" Target="http://skyves.ru/element/2065" TargetMode="External"/><Relationship Id="rId149" Type="http://schemas.openxmlformats.org/officeDocument/2006/relationships/hyperlink" Target="http://skyves.ru/element/2247" TargetMode="External"/><Relationship Id="rId5" Type="http://schemas.openxmlformats.org/officeDocument/2006/relationships/hyperlink" Target="http://skyves.ru/element/35" TargetMode="External"/><Relationship Id="rId90" Type="http://schemas.openxmlformats.org/officeDocument/2006/relationships/hyperlink" Target="http://skyves.ru/element/199" TargetMode="External"/><Relationship Id="rId95" Type="http://schemas.openxmlformats.org/officeDocument/2006/relationships/hyperlink" Target="http://skyves.ru/element/208" TargetMode="External"/><Relationship Id="rId160" Type="http://schemas.openxmlformats.org/officeDocument/2006/relationships/hyperlink" Target="http://skyves.ru/element/2273" TargetMode="External"/><Relationship Id="rId22" Type="http://schemas.openxmlformats.org/officeDocument/2006/relationships/hyperlink" Target="http://skyves.ru/element/379" TargetMode="External"/><Relationship Id="rId27" Type="http://schemas.openxmlformats.org/officeDocument/2006/relationships/hyperlink" Target="http://skyves.ru/element/662" TargetMode="External"/><Relationship Id="rId43" Type="http://schemas.openxmlformats.org/officeDocument/2006/relationships/hyperlink" Target="http://skyves.ru/element/419" TargetMode="External"/><Relationship Id="rId48" Type="http://schemas.openxmlformats.org/officeDocument/2006/relationships/hyperlink" Target="http://skyves.ru/element/424" TargetMode="External"/><Relationship Id="rId64" Type="http://schemas.openxmlformats.org/officeDocument/2006/relationships/hyperlink" Target="http://skyves.ru/element/2047" TargetMode="External"/><Relationship Id="rId69" Type="http://schemas.openxmlformats.org/officeDocument/2006/relationships/hyperlink" Target="http://skyves.ru/element/286" TargetMode="External"/><Relationship Id="rId113" Type="http://schemas.openxmlformats.org/officeDocument/2006/relationships/hyperlink" Target="http://skyves.ru/element/280" TargetMode="External"/><Relationship Id="rId118" Type="http://schemas.openxmlformats.org/officeDocument/2006/relationships/hyperlink" Target="http://skyves.ru/element/2031" TargetMode="External"/><Relationship Id="rId134" Type="http://schemas.openxmlformats.org/officeDocument/2006/relationships/hyperlink" Target="http://skyves.ru/element/2055" TargetMode="External"/><Relationship Id="rId139" Type="http://schemas.openxmlformats.org/officeDocument/2006/relationships/hyperlink" Target="http://skyves.ru/element/2060" TargetMode="External"/><Relationship Id="rId80" Type="http://schemas.openxmlformats.org/officeDocument/2006/relationships/hyperlink" Target="http://skyves.ru/element/256" TargetMode="External"/><Relationship Id="rId85" Type="http://schemas.openxmlformats.org/officeDocument/2006/relationships/hyperlink" Target="http://skyves.ru/element/149" TargetMode="External"/><Relationship Id="rId150" Type="http://schemas.openxmlformats.org/officeDocument/2006/relationships/hyperlink" Target="http://skyves.ru/element/2263" TargetMode="External"/><Relationship Id="rId155" Type="http://schemas.openxmlformats.org/officeDocument/2006/relationships/hyperlink" Target="http://skyves.ru/element/2268" TargetMode="External"/><Relationship Id="rId12" Type="http://schemas.openxmlformats.org/officeDocument/2006/relationships/hyperlink" Target="http://skyves.ru/element/375" TargetMode="External"/><Relationship Id="rId17" Type="http://schemas.openxmlformats.org/officeDocument/2006/relationships/hyperlink" Target="http://skyves.ru/element/386" TargetMode="External"/><Relationship Id="rId33" Type="http://schemas.openxmlformats.org/officeDocument/2006/relationships/hyperlink" Target="http://skyves.ru/element/2041" TargetMode="External"/><Relationship Id="rId38" Type="http://schemas.openxmlformats.org/officeDocument/2006/relationships/hyperlink" Target="http://skyves.ru/element/414" TargetMode="External"/><Relationship Id="rId59" Type="http://schemas.openxmlformats.org/officeDocument/2006/relationships/hyperlink" Target="http://skyves.ru/element/436" TargetMode="External"/><Relationship Id="rId103" Type="http://schemas.openxmlformats.org/officeDocument/2006/relationships/hyperlink" Target="http://skyves.ru/element/37" TargetMode="External"/><Relationship Id="rId108" Type="http://schemas.openxmlformats.org/officeDocument/2006/relationships/hyperlink" Target="http://skyves.ru/element/368" TargetMode="External"/><Relationship Id="rId124" Type="http://schemas.openxmlformats.org/officeDocument/2006/relationships/hyperlink" Target="http://skyves.ru/element/2037" TargetMode="External"/><Relationship Id="rId129" Type="http://schemas.openxmlformats.org/officeDocument/2006/relationships/hyperlink" Target="http://skyves.ru/element/2050" TargetMode="External"/><Relationship Id="rId20" Type="http://schemas.openxmlformats.org/officeDocument/2006/relationships/hyperlink" Target="http://skyves.ru/element/378" TargetMode="External"/><Relationship Id="rId41" Type="http://schemas.openxmlformats.org/officeDocument/2006/relationships/hyperlink" Target="http://skyves.ru/element/417" TargetMode="External"/><Relationship Id="rId54" Type="http://schemas.openxmlformats.org/officeDocument/2006/relationships/hyperlink" Target="http://skyves.ru/element/427" TargetMode="External"/><Relationship Id="rId62" Type="http://schemas.openxmlformats.org/officeDocument/2006/relationships/hyperlink" Target="http://skyves.ru/element/2045" TargetMode="External"/><Relationship Id="rId70" Type="http://schemas.openxmlformats.org/officeDocument/2006/relationships/hyperlink" Target="http://skyves.ru/element/287" TargetMode="External"/><Relationship Id="rId75" Type="http://schemas.openxmlformats.org/officeDocument/2006/relationships/hyperlink" Target="http://skyves.ru/element/249" TargetMode="External"/><Relationship Id="rId83" Type="http://schemas.openxmlformats.org/officeDocument/2006/relationships/hyperlink" Target="http://skyves.ru/element/254" TargetMode="External"/><Relationship Id="rId88" Type="http://schemas.openxmlformats.org/officeDocument/2006/relationships/hyperlink" Target="http://skyves.ru/element/197" TargetMode="External"/><Relationship Id="rId91" Type="http://schemas.openxmlformats.org/officeDocument/2006/relationships/hyperlink" Target="http://skyves.ru/element/200" TargetMode="External"/><Relationship Id="rId96" Type="http://schemas.openxmlformats.org/officeDocument/2006/relationships/hyperlink" Target="http://skyves.ru/element/210" TargetMode="External"/><Relationship Id="rId111" Type="http://schemas.openxmlformats.org/officeDocument/2006/relationships/hyperlink" Target="http://skyves.ru/element/366" TargetMode="External"/><Relationship Id="rId132" Type="http://schemas.openxmlformats.org/officeDocument/2006/relationships/hyperlink" Target="http://skyves.ru/element/2053" TargetMode="External"/><Relationship Id="rId140" Type="http://schemas.openxmlformats.org/officeDocument/2006/relationships/hyperlink" Target="http://skyves.ru/element/2061" TargetMode="External"/><Relationship Id="rId145" Type="http://schemas.openxmlformats.org/officeDocument/2006/relationships/hyperlink" Target="http://skyves.ru/element/2066" TargetMode="External"/><Relationship Id="rId153" Type="http://schemas.openxmlformats.org/officeDocument/2006/relationships/hyperlink" Target="http://skyves.ru/element/2266" TargetMode="External"/><Relationship Id="rId161" Type="http://schemas.openxmlformats.org/officeDocument/2006/relationships/printerSettings" Target="../printerSettings/printerSettings5.bin"/><Relationship Id="rId1" Type="http://schemas.openxmlformats.org/officeDocument/2006/relationships/hyperlink" Target="http://skyves.ru/element/31" TargetMode="External"/><Relationship Id="rId6" Type="http://schemas.openxmlformats.org/officeDocument/2006/relationships/hyperlink" Target="http://skyves.ru/element/1691" TargetMode="External"/><Relationship Id="rId15" Type="http://schemas.openxmlformats.org/officeDocument/2006/relationships/hyperlink" Target="http://skyves.ru/element/384" TargetMode="External"/><Relationship Id="rId23" Type="http://schemas.openxmlformats.org/officeDocument/2006/relationships/hyperlink" Target="http://skyves.ru/element/389" TargetMode="External"/><Relationship Id="rId28" Type="http://schemas.openxmlformats.org/officeDocument/2006/relationships/hyperlink" Target="http://skyves.ru/element/663" TargetMode="External"/><Relationship Id="rId36" Type="http://schemas.openxmlformats.org/officeDocument/2006/relationships/hyperlink" Target="http://skyves.ru/element/412" TargetMode="External"/><Relationship Id="rId49" Type="http://schemas.openxmlformats.org/officeDocument/2006/relationships/hyperlink" Target="http://skyves.ru/element/425" TargetMode="External"/><Relationship Id="rId57" Type="http://schemas.openxmlformats.org/officeDocument/2006/relationships/hyperlink" Target="http://skyves.ru/element/434" TargetMode="External"/><Relationship Id="rId106" Type="http://schemas.openxmlformats.org/officeDocument/2006/relationships/hyperlink" Target="http://skyves.ru/element/390" TargetMode="External"/><Relationship Id="rId114" Type="http://schemas.openxmlformats.org/officeDocument/2006/relationships/hyperlink" Target="http://skyves.ru/element/281" TargetMode="External"/><Relationship Id="rId119" Type="http://schemas.openxmlformats.org/officeDocument/2006/relationships/hyperlink" Target="http://skyves.ru/element/2032" TargetMode="External"/><Relationship Id="rId127" Type="http://schemas.openxmlformats.org/officeDocument/2006/relationships/hyperlink" Target="http://skyves.ru/element/2048" TargetMode="External"/><Relationship Id="rId10" Type="http://schemas.openxmlformats.org/officeDocument/2006/relationships/hyperlink" Target="http://skyves.ru/element/373" TargetMode="External"/><Relationship Id="rId31" Type="http://schemas.openxmlformats.org/officeDocument/2006/relationships/hyperlink" Target="http://skyves.ru/element/666" TargetMode="External"/><Relationship Id="rId44" Type="http://schemas.openxmlformats.org/officeDocument/2006/relationships/hyperlink" Target="http://skyves.ru/element/420" TargetMode="External"/><Relationship Id="rId52" Type="http://schemas.openxmlformats.org/officeDocument/2006/relationships/hyperlink" Target="http://skyves.ru/element/433" TargetMode="External"/><Relationship Id="rId60" Type="http://schemas.openxmlformats.org/officeDocument/2006/relationships/hyperlink" Target="http://skyves.ru/element/437" TargetMode="External"/><Relationship Id="rId65" Type="http://schemas.openxmlformats.org/officeDocument/2006/relationships/hyperlink" Target="http://skyves.ru/element/462" TargetMode="External"/><Relationship Id="rId73" Type="http://schemas.openxmlformats.org/officeDocument/2006/relationships/hyperlink" Target="http://skyves.ru/element/247" TargetMode="External"/><Relationship Id="rId78" Type="http://schemas.openxmlformats.org/officeDocument/2006/relationships/hyperlink" Target="http://skyves.ru/element/288" TargetMode="External"/><Relationship Id="rId81" Type="http://schemas.openxmlformats.org/officeDocument/2006/relationships/hyperlink" Target="http://skyves.ru/element/252" TargetMode="External"/><Relationship Id="rId86" Type="http://schemas.openxmlformats.org/officeDocument/2006/relationships/hyperlink" Target="http://skyves.ru/element/195" TargetMode="External"/><Relationship Id="rId94" Type="http://schemas.openxmlformats.org/officeDocument/2006/relationships/hyperlink" Target="http://skyves.ru/element/205" TargetMode="External"/><Relationship Id="rId99" Type="http://schemas.openxmlformats.org/officeDocument/2006/relationships/hyperlink" Target="http://skyves.ru/element/205" TargetMode="External"/><Relationship Id="rId101" Type="http://schemas.openxmlformats.org/officeDocument/2006/relationships/hyperlink" Target="http://skyves.ru/element/206" TargetMode="External"/><Relationship Id="rId122" Type="http://schemas.openxmlformats.org/officeDocument/2006/relationships/hyperlink" Target="http://skyves.ru/element/2035" TargetMode="External"/><Relationship Id="rId130" Type="http://schemas.openxmlformats.org/officeDocument/2006/relationships/hyperlink" Target="http://skyves.ru/element/2051" TargetMode="External"/><Relationship Id="rId135" Type="http://schemas.openxmlformats.org/officeDocument/2006/relationships/hyperlink" Target="http://skyves.ru/element/2050" TargetMode="External"/><Relationship Id="rId143" Type="http://schemas.openxmlformats.org/officeDocument/2006/relationships/hyperlink" Target="http://skyves.ru/element/2064" TargetMode="External"/><Relationship Id="rId148" Type="http://schemas.openxmlformats.org/officeDocument/2006/relationships/hyperlink" Target="http://skyves.ru/element/2246" TargetMode="External"/><Relationship Id="rId151" Type="http://schemas.openxmlformats.org/officeDocument/2006/relationships/hyperlink" Target="http://skyves.ru/element/2264" TargetMode="External"/><Relationship Id="rId156" Type="http://schemas.openxmlformats.org/officeDocument/2006/relationships/hyperlink" Target="http://skyves.ru/element/2269" TargetMode="External"/><Relationship Id="rId4" Type="http://schemas.openxmlformats.org/officeDocument/2006/relationships/hyperlink" Target="http://skyves.ru/element/34" TargetMode="External"/><Relationship Id="rId9" Type="http://schemas.openxmlformats.org/officeDocument/2006/relationships/hyperlink" Target="http://skyves.ru/element/382" TargetMode="External"/><Relationship Id="rId13" Type="http://schemas.openxmlformats.org/officeDocument/2006/relationships/hyperlink" Target="http://skyves.ru/element/385" TargetMode="External"/><Relationship Id="rId18" Type="http://schemas.openxmlformats.org/officeDocument/2006/relationships/hyperlink" Target="http://skyves.ru/element/377" TargetMode="External"/><Relationship Id="rId39" Type="http://schemas.openxmlformats.org/officeDocument/2006/relationships/hyperlink" Target="http://skyves.ru/element/415" TargetMode="External"/><Relationship Id="rId109" Type="http://schemas.openxmlformats.org/officeDocument/2006/relationships/hyperlink" Target="http://skyves.ru/element/364" TargetMode="External"/><Relationship Id="rId34" Type="http://schemas.openxmlformats.org/officeDocument/2006/relationships/hyperlink" Target="http://skyves.ru/element/2042" TargetMode="External"/><Relationship Id="rId50" Type="http://schemas.openxmlformats.org/officeDocument/2006/relationships/hyperlink" Target="http://skyves.ru/element/431" TargetMode="External"/><Relationship Id="rId55" Type="http://schemas.openxmlformats.org/officeDocument/2006/relationships/hyperlink" Target="http://skyves.ru/element/428" TargetMode="External"/><Relationship Id="rId76" Type="http://schemas.openxmlformats.org/officeDocument/2006/relationships/hyperlink" Target="http://skyves.ru/element/250" TargetMode="External"/><Relationship Id="rId97" Type="http://schemas.openxmlformats.org/officeDocument/2006/relationships/hyperlink" Target="http://skyves.ru/element/204" TargetMode="External"/><Relationship Id="rId104" Type="http://schemas.openxmlformats.org/officeDocument/2006/relationships/hyperlink" Target="http://skyves.ru/element/290" TargetMode="External"/><Relationship Id="rId120" Type="http://schemas.openxmlformats.org/officeDocument/2006/relationships/hyperlink" Target="http://skyves.ru/element/2033" TargetMode="External"/><Relationship Id="rId125" Type="http://schemas.openxmlformats.org/officeDocument/2006/relationships/hyperlink" Target="http://skyves.ru/element/2038" TargetMode="External"/><Relationship Id="rId141" Type="http://schemas.openxmlformats.org/officeDocument/2006/relationships/hyperlink" Target="http://skyves.ru/element/2062" TargetMode="External"/><Relationship Id="rId146" Type="http://schemas.openxmlformats.org/officeDocument/2006/relationships/hyperlink" Target="http://skyves.ru/element/2067" TargetMode="External"/><Relationship Id="rId7" Type="http://schemas.openxmlformats.org/officeDocument/2006/relationships/hyperlink" Target="http://skyves.ru/element/36" TargetMode="External"/><Relationship Id="rId71" Type="http://schemas.openxmlformats.org/officeDocument/2006/relationships/hyperlink" Target="http://skyves.ru/element/245" TargetMode="External"/><Relationship Id="rId92" Type="http://schemas.openxmlformats.org/officeDocument/2006/relationships/hyperlink" Target="http://skyves.ru/element/201" TargetMode="External"/><Relationship Id="rId162" Type="http://schemas.openxmlformats.org/officeDocument/2006/relationships/drawing" Target="../drawings/drawing6.xml"/><Relationship Id="rId2" Type="http://schemas.openxmlformats.org/officeDocument/2006/relationships/hyperlink" Target="http://skyves.ru/element/32" TargetMode="External"/><Relationship Id="rId29" Type="http://schemas.openxmlformats.org/officeDocument/2006/relationships/hyperlink" Target="http://skyves.ru/element/664" TargetMode="External"/><Relationship Id="rId24" Type="http://schemas.openxmlformats.org/officeDocument/2006/relationships/hyperlink" Target="http://skyves.ru/element/391" TargetMode="External"/><Relationship Id="rId40" Type="http://schemas.openxmlformats.org/officeDocument/2006/relationships/hyperlink" Target="http://skyves.ru/element/416" TargetMode="External"/><Relationship Id="rId45" Type="http://schemas.openxmlformats.org/officeDocument/2006/relationships/hyperlink" Target="http://skyves.ru/element/421" TargetMode="External"/><Relationship Id="rId66" Type="http://schemas.openxmlformats.org/officeDocument/2006/relationships/hyperlink" Target="http://skyves.ru/element/463" TargetMode="External"/><Relationship Id="rId87" Type="http://schemas.openxmlformats.org/officeDocument/2006/relationships/hyperlink" Target="http://skyves.ru/element/196" TargetMode="External"/><Relationship Id="rId110" Type="http://schemas.openxmlformats.org/officeDocument/2006/relationships/hyperlink" Target="http://skyves.ru/element/365" TargetMode="External"/><Relationship Id="rId115" Type="http://schemas.openxmlformats.org/officeDocument/2006/relationships/hyperlink" Target="http://skyves.ru/element/2028" TargetMode="External"/><Relationship Id="rId131" Type="http://schemas.openxmlformats.org/officeDocument/2006/relationships/hyperlink" Target="http://skyves.ru/element/2052" TargetMode="External"/><Relationship Id="rId136" Type="http://schemas.openxmlformats.org/officeDocument/2006/relationships/hyperlink" Target="http://skyves.ru/element/2057" TargetMode="External"/><Relationship Id="rId157" Type="http://schemas.openxmlformats.org/officeDocument/2006/relationships/hyperlink" Target="http://skyves.ru/element/2270" TargetMode="External"/><Relationship Id="rId61" Type="http://schemas.openxmlformats.org/officeDocument/2006/relationships/hyperlink" Target="http://skyves.ru/element/2044" TargetMode="External"/><Relationship Id="rId82" Type="http://schemas.openxmlformats.org/officeDocument/2006/relationships/hyperlink" Target="http://skyves.ru/element/253" TargetMode="External"/><Relationship Id="rId152" Type="http://schemas.openxmlformats.org/officeDocument/2006/relationships/hyperlink" Target="http://skyves.ru/element/2265" TargetMode="External"/><Relationship Id="rId19" Type="http://schemas.openxmlformats.org/officeDocument/2006/relationships/hyperlink" Target="http://skyves.ru/element/387" TargetMode="External"/><Relationship Id="rId14" Type="http://schemas.openxmlformats.org/officeDocument/2006/relationships/hyperlink" Target="http://skyves.ru/element/374" TargetMode="External"/><Relationship Id="rId30" Type="http://schemas.openxmlformats.org/officeDocument/2006/relationships/hyperlink" Target="http://skyves.ru/element/665" TargetMode="External"/><Relationship Id="rId35" Type="http://schemas.openxmlformats.org/officeDocument/2006/relationships/hyperlink" Target="http://skyves.ru/element/2043" TargetMode="External"/><Relationship Id="rId56" Type="http://schemas.openxmlformats.org/officeDocument/2006/relationships/hyperlink" Target="http://skyves.ru/element/430" TargetMode="External"/><Relationship Id="rId77" Type="http://schemas.openxmlformats.org/officeDocument/2006/relationships/hyperlink" Target="http://skyves.ru/element/251" TargetMode="External"/><Relationship Id="rId100" Type="http://schemas.openxmlformats.org/officeDocument/2006/relationships/hyperlink" Target="http://skyves.ru/element/212" TargetMode="External"/><Relationship Id="rId105" Type="http://schemas.openxmlformats.org/officeDocument/2006/relationships/hyperlink" Target="http://skyves.ru/element/289" TargetMode="External"/><Relationship Id="rId126" Type="http://schemas.openxmlformats.org/officeDocument/2006/relationships/hyperlink" Target="http://skyves.ru/element/2039" TargetMode="External"/><Relationship Id="rId147" Type="http://schemas.openxmlformats.org/officeDocument/2006/relationships/hyperlink" Target="http://skyves.ru/element/2068" TargetMode="External"/><Relationship Id="rId8" Type="http://schemas.openxmlformats.org/officeDocument/2006/relationships/hyperlink" Target="http://skyves.ru/element/372" TargetMode="External"/><Relationship Id="rId51" Type="http://schemas.openxmlformats.org/officeDocument/2006/relationships/hyperlink" Target="http://skyves.ru/element/432" TargetMode="External"/><Relationship Id="rId72" Type="http://schemas.openxmlformats.org/officeDocument/2006/relationships/hyperlink" Target="http://skyves.ru/element/246" TargetMode="External"/><Relationship Id="rId93" Type="http://schemas.openxmlformats.org/officeDocument/2006/relationships/hyperlink" Target="http://skyves.ru/element/202" TargetMode="External"/><Relationship Id="rId98" Type="http://schemas.openxmlformats.org/officeDocument/2006/relationships/hyperlink" Target="http://skyves.ru/element/211" TargetMode="External"/><Relationship Id="rId121" Type="http://schemas.openxmlformats.org/officeDocument/2006/relationships/hyperlink" Target="http://skyves.ru/element/2034" TargetMode="External"/><Relationship Id="rId142" Type="http://schemas.openxmlformats.org/officeDocument/2006/relationships/hyperlink" Target="http://skyves.ru/element/2063" TargetMode="External"/><Relationship Id="rId3" Type="http://schemas.openxmlformats.org/officeDocument/2006/relationships/hyperlink" Target="http://skyves.ru/element/33" TargetMode="External"/><Relationship Id="rId25" Type="http://schemas.openxmlformats.org/officeDocument/2006/relationships/hyperlink" Target="http://skyves.ru/element/660" TargetMode="External"/><Relationship Id="rId46" Type="http://schemas.openxmlformats.org/officeDocument/2006/relationships/hyperlink" Target="http://skyves.ru/element/422" TargetMode="External"/><Relationship Id="rId67" Type="http://schemas.openxmlformats.org/officeDocument/2006/relationships/hyperlink" Target="http://skyves.ru/element/464" TargetMode="External"/><Relationship Id="rId116" Type="http://schemas.openxmlformats.org/officeDocument/2006/relationships/hyperlink" Target="http://skyves.ru/element/2029" TargetMode="External"/><Relationship Id="rId137" Type="http://schemas.openxmlformats.org/officeDocument/2006/relationships/hyperlink" Target="http://skyves.ru/element/2058" TargetMode="External"/><Relationship Id="rId158" Type="http://schemas.openxmlformats.org/officeDocument/2006/relationships/hyperlink" Target="http://skyves.ru/element/227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70" TargetMode="External"/><Relationship Id="rId3" Type="http://schemas.openxmlformats.org/officeDocument/2006/relationships/hyperlink" Target="http://skyves.ru/element/72" TargetMode="External"/><Relationship Id="rId7" Type="http://schemas.openxmlformats.org/officeDocument/2006/relationships/hyperlink" Target="http://skyves.ru/element/74" TargetMode="External"/><Relationship Id="rId12" Type="http://schemas.openxmlformats.org/officeDocument/2006/relationships/drawing" Target="../drawings/drawing7.xml"/><Relationship Id="rId2" Type="http://schemas.openxmlformats.org/officeDocument/2006/relationships/hyperlink" Target="http://skyves.ru/element/71" TargetMode="External"/><Relationship Id="rId1" Type="http://schemas.openxmlformats.org/officeDocument/2006/relationships/hyperlink" Target="http://skyves.ru/element/76" TargetMode="External"/><Relationship Id="rId6" Type="http://schemas.openxmlformats.org/officeDocument/2006/relationships/hyperlink" Target="http://skyves.ru/element/73" TargetMode="External"/><Relationship Id="rId11" Type="http://schemas.openxmlformats.org/officeDocument/2006/relationships/hyperlink" Target="http://skyves.ru/element/401" TargetMode="External"/><Relationship Id="rId5" Type="http://schemas.openxmlformats.org/officeDocument/2006/relationships/hyperlink" Target="http://skyves.ru/element/659" TargetMode="External"/><Relationship Id="rId10" Type="http://schemas.openxmlformats.org/officeDocument/2006/relationships/hyperlink" Target="http://skyves.ru/element/400" TargetMode="External"/><Relationship Id="rId4" Type="http://schemas.openxmlformats.org/officeDocument/2006/relationships/hyperlink" Target="http://skyves.ru/element/75" TargetMode="External"/><Relationship Id="rId9" Type="http://schemas.openxmlformats.org/officeDocument/2006/relationships/hyperlink" Target="http://skyves.ru/element/399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570" TargetMode="External"/><Relationship Id="rId3" Type="http://schemas.openxmlformats.org/officeDocument/2006/relationships/hyperlink" Target="http://skyves.ru/element/553" TargetMode="External"/><Relationship Id="rId7" Type="http://schemas.openxmlformats.org/officeDocument/2006/relationships/hyperlink" Target="http://skyves.ru/element/569" TargetMode="External"/><Relationship Id="rId12" Type="http://schemas.openxmlformats.org/officeDocument/2006/relationships/drawing" Target="../drawings/drawing8.xml"/><Relationship Id="rId2" Type="http://schemas.openxmlformats.org/officeDocument/2006/relationships/hyperlink" Target="http://skyves.ru/element/556" TargetMode="External"/><Relationship Id="rId1" Type="http://schemas.openxmlformats.org/officeDocument/2006/relationships/hyperlink" Target="http://skyves.ru/element/552" TargetMode="External"/><Relationship Id="rId6" Type="http://schemas.openxmlformats.org/officeDocument/2006/relationships/hyperlink" Target="http://skyves.ru/element/557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http://skyves.ru/element/555" TargetMode="External"/><Relationship Id="rId10" Type="http://schemas.openxmlformats.org/officeDocument/2006/relationships/hyperlink" Target="http://skyves.ru/element/572" TargetMode="External"/><Relationship Id="rId4" Type="http://schemas.openxmlformats.org/officeDocument/2006/relationships/hyperlink" Target="http://skyves.ru/element/554" TargetMode="External"/><Relationship Id="rId9" Type="http://schemas.openxmlformats.org/officeDocument/2006/relationships/hyperlink" Target="http://skyves.ru/element/57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skyves.ru/element/1451" TargetMode="External"/><Relationship Id="rId7" Type="http://schemas.openxmlformats.org/officeDocument/2006/relationships/hyperlink" Target="http://skyves.ru/element/1015" TargetMode="External"/><Relationship Id="rId2" Type="http://schemas.openxmlformats.org/officeDocument/2006/relationships/hyperlink" Target="http://skyves.ru/element/1450" TargetMode="External"/><Relationship Id="rId1" Type="http://schemas.openxmlformats.org/officeDocument/2006/relationships/hyperlink" Target="http://skyves.ru/element/1449" TargetMode="External"/><Relationship Id="rId6" Type="http://schemas.openxmlformats.org/officeDocument/2006/relationships/hyperlink" Target="http://skyves.ru/element/1014" TargetMode="External"/><Relationship Id="rId5" Type="http://schemas.openxmlformats.org/officeDocument/2006/relationships/hyperlink" Target="http://skyves.ru/element/1453" TargetMode="External"/><Relationship Id="rId4" Type="http://schemas.openxmlformats.org/officeDocument/2006/relationships/hyperlink" Target="http://skyves.ru/element/1452" TargetMode="External"/><Relationship Id="rId9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://skyves.ru/element/626" TargetMode="External"/><Relationship Id="rId117" Type="http://schemas.openxmlformats.org/officeDocument/2006/relationships/hyperlink" Target="http://skyves.ru/element/2095" TargetMode="External"/><Relationship Id="rId21" Type="http://schemas.openxmlformats.org/officeDocument/2006/relationships/hyperlink" Target="http://skyves.ru/element/622" TargetMode="External"/><Relationship Id="rId42" Type="http://schemas.openxmlformats.org/officeDocument/2006/relationships/hyperlink" Target="http://skyves.ru/element/1868" TargetMode="External"/><Relationship Id="rId47" Type="http://schemas.openxmlformats.org/officeDocument/2006/relationships/hyperlink" Target="http://skyves.ru/element/1922" TargetMode="External"/><Relationship Id="rId63" Type="http://schemas.openxmlformats.org/officeDocument/2006/relationships/hyperlink" Target="http://skyves.ru/element/1939" TargetMode="External"/><Relationship Id="rId68" Type="http://schemas.openxmlformats.org/officeDocument/2006/relationships/hyperlink" Target="http://skyves.ru/element/1943" TargetMode="External"/><Relationship Id="rId84" Type="http://schemas.openxmlformats.org/officeDocument/2006/relationships/hyperlink" Target="http://skyves.ru/element/1960" TargetMode="External"/><Relationship Id="rId89" Type="http://schemas.openxmlformats.org/officeDocument/2006/relationships/hyperlink" Target="http://skyves.ru/element/1965" TargetMode="External"/><Relationship Id="rId112" Type="http://schemas.openxmlformats.org/officeDocument/2006/relationships/hyperlink" Target="http://skyves.ru/element/2090" TargetMode="External"/><Relationship Id="rId133" Type="http://schemas.openxmlformats.org/officeDocument/2006/relationships/hyperlink" Target="http://skyves.ru/element/576" TargetMode="External"/><Relationship Id="rId138" Type="http://schemas.openxmlformats.org/officeDocument/2006/relationships/hyperlink" Target="http://skyves.ru/element/581" TargetMode="External"/><Relationship Id="rId154" Type="http://schemas.openxmlformats.org/officeDocument/2006/relationships/hyperlink" Target="http://skyves.ru/element/631" TargetMode="External"/><Relationship Id="rId159" Type="http://schemas.openxmlformats.org/officeDocument/2006/relationships/hyperlink" Target="http://skyves.ru/element/635" TargetMode="External"/><Relationship Id="rId175" Type="http://schemas.openxmlformats.org/officeDocument/2006/relationships/hyperlink" Target="http://skyves.ru/element/653" TargetMode="External"/><Relationship Id="rId170" Type="http://schemas.openxmlformats.org/officeDocument/2006/relationships/hyperlink" Target="http://skyves.ru/element/649" TargetMode="External"/><Relationship Id="rId16" Type="http://schemas.openxmlformats.org/officeDocument/2006/relationships/hyperlink" Target="http://skyves.ru/element/603" TargetMode="External"/><Relationship Id="rId107" Type="http://schemas.openxmlformats.org/officeDocument/2006/relationships/hyperlink" Target="http://skyves.ru/element/2085" TargetMode="External"/><Relationship Id="rId11" Type="http://schemas.openxmlformats.org/officeDocument/2006/relationships/hyperlink" Target="http://skyves.ru/element/598" TargetMode="External"/><Relationship Id="rId32" Type="http://schemas.openxmlformats.org/officeDocument/2006/relationships/hyperlink" Target="http://skyves.ru/element/610" TargetMode="External"/><Relationship Id="rId37" Type="http://schemas.openxmlformats.org/officeDocument/2006/relationships/hyperlink" Target="http://skyves.ru/element/615" TargetMode="External"/><Relationship Id="rId53" Type="http://schemas.openxmlformats.org/officeDocument/2006/relationships/hyperlink" Target="http://skyves.ru/element/1928" TargetMode="External"/><Relationship Id="rId58" Type="http://schemas.openxmlformats.org/officeDocument/2006/relationships/hyperlink" Target="http://skyves.ru/element/1933" TargetMode="External"/><Relationship Id="rId74" Type="http://schemas.openxmlformats.org/officeDocument/2006/relationships/hyperlink" Target="http://skyves.ru/element/1950" TargetMode="External"/><Relationship Id="rId79" Type="http://schemas.openxmlformats.org/officeDocument/2006/relationships/hyperlink" Target="http://skyves.ru/element/1955" TargetMode="External"/><Relationship Id="rId102" Type="http://schemas.openxmlformats.org/officeDocument/2006/relationships/hyperlink" Target="http://skyves.ru/element/2080" TargetMode="External"/><Relationship Id="rId123" Type="http://schemas.openxmlformats.org/officeDocument/2006/relationships/hyperlink" Target="http://skyves.ru/element/329" TargetMode="External"/><Relationship Id="rId128" Type="http://schemas.openxmlformats.org/officeDocument/2006/relationships/hyperlink" Target="http://skyves.ru/element/1388" TargetMode="External"/><Relationship Id="rId144" Type="http://schemas.openxmlformats.org/officeDocument/2006/relationships/hyperlink" Target="http://skyves.ru/element/1687" TargetMode="External"/><Relationship Id="rId149" Type="http://schemas.openxmlformats.org/officeDocument/2006/relationships/hyperlink" Target="http://skyves.ru/element/593" TargetMode="External"/><Relationship Id="rId5" Type="http://schemas.openxmlformats.org/officeDocument/2006/relationships/hyperlink" Target="http://skyves.ru/element/594" TargetMode="External"/><Relationship Id="rId90" Type="http://schemas.openxmlformats.org/officeDocument/2006/relationships/hyperlink" Target="http://skyves.ru/element/1966" TargetMode="External"/><Relationship Id="rId95" Type="http://schemas.openxmlformats.org/officeDocument/2006/relationships/hyperlink" Target="http://skyves.ru/element/2073" TargetMode="External"/><Relationship Id="rId160" Type="http://schemas.openxmlformats.org/officeDocument/2006/relationships/hyperlink" Target="http://skyves.ru/element/641" TargetMode="External"/><Relationship Id="rId165" Type="http://schemas.openxmlformats.org/officeDocument/2006/relationships/hyperlink" Target="http://skyves.ru/element/644" TargetMode="External"/><Relationship Id="rId181" Type="http://schemas.openxmlformats.org/officeDocument/2006/relationships/drawing" Target="../drawings/drawing10.xml"/><Relationship Id="rId22" Type="http://schemas.openxmlformats.org/officeDocument/2006/relationships/hyperlink" Target="http://skyves.ru/element/623" TargetMode="External"/><Relationship Id="rId27" Type="http://schemas.openxmlformats.org/officeDocument/2006/relationships/hyperlink" Target="http://skyves.ru/element/628" TargetMode="External"/><Relationship Id="rId43" Type="http://schemas.openxmlformats.org/officeDocument/2006/relationships/hyperlink" Target="http://skyves.ru/element/1869" TargetMode="External"/><Relationship Id="rId48" Type="http://schemas.openxmlformats.org/officeDocument/2006/relationships/hyperlink" Target="http://skyves.ru/element/1923" TargetMode="External"/><Relationship Id="rId64" Type="http://schemas.openxmlformats.org/officeDocument/2006/relationships/hyperlink" Target="http://skyves.ru/element/1940" TargetMode="External"/><Relationship Id="rId69" Type="http://schemas.openxmlformats.org/officeDocument/2006/relationships/hyperlink" Target="http://skyves.ru/element/1944" TargetMode="External"/><Relationship Id="rId113" Type="http://schemas.openxmlformats.org/officeDocument/2006/relationships/hyperlink" Target="http://skyves.ru/element/2091" TargetMode="External"/><Relationship Id="rId118" Type="http://schemas.openxmlformats.org/officeDocument/2006/relationships/hyperlink" Target="http://skyves.ru/element/2096" TargetMode="External"/><Relationship Id="rId134" Type="http://schemas.openxmlformats.org/officeDocument/2006/relationships/hyperlink" Target="http://skyves.ru/element/573" TargetMode="External"/><Relationship Id="rId139" Type="http://schemas.openxmlformats.org/officeDocument/2006/relationships/hyperlink" Target="http://skyves.ru/element/577" TargetMode="External"/><Relationship Id="rId80" Type="http://schemas.openxmlformats.org/officeDocument/2006/relationships/hyperlink" Target="http://skyves.ru/element/1956" TargetMode="External"/><Relationship Id="rId85" Type="http://schemas.openxmlformats.org/officeDocument/2006/relationships/hyperlink" Target="http://skyves.ru/element/1961" TargetMode="External"/><Relationship Id="rId150" Type="http://schemas.openxmlformats.org/officeDocument/2006/relationships/hyperlink" Target="http://skyves.ru/element/629" TargetMode="External"/><Relationship Id="rId155" Type="http://schemas.openxmlformats.org/officeDocument/2006/relationships/hyperlink" Target="http://skyves.ru/element/638" TargetMode="External"/><Relationship Id="rId171" Type="http://schemas.openxmlformats.org/officeDocument/2006/relationships/hyperlink" Target="http://skyves.ru/element/650" TargetMode="External"/><Relationship Id="rId176" Type="http://schemas.openxmlformats.org/officeDocument/2006/relationships/hyperlink" Target="http://skyves.ru/element/655" TargetMode="External"/><Relationship Id="rId12" Type="http://schemas.openxmlformats.org/officeDocument/2006/relationships/hyperlink" Target="http://skyves.ru/element/599" TargetMode="External"/><Relationship Id="rId17" Type="http://schemas.openxmlformats.org/officeDocument/2006/relationships/hyperlink" Target="http://skyves.ru/element/604" TargetMode="External"/><Relationship Id="rId33" Type="http://schemas.openxmlformats.org/officeDocument/2006/relationships/hyperlink" Target="http://skyves.ru/element/611" TargetMode="External"/><Relationship Id="rId38" Type="http://schemas.openxmlformats.org/officeDocument/2006/relationships/hyperlink" Target="http://skyves.ru/element/617" TargetMode="External"/><Relationship Id="rId59" Type="http://schemas.openxmlformats.org/officeDocument/2006/relationships/hyperlink" Target="http://skyves.ru/element/1934" TargetMode="External"/><Relationship Id="rId103" Type="http://schemas.openxmlformats.org/officeDocument/2006/relationships/hyperlink" Target="http://skyves.ru/element/2081" TargetMode="External"/><Relationship Id="rId108" Type="http://schemas.openxmlformats.org/officeDocument/2006/relationships/hyperlink" Target="http://skyves.ru/element/2086" TargetMode="External"/><Relationship Id="rId124" Type="http://schemas.openxmlformats.org/officeDocument/2006/relationships/hyperlink" Target="http://skyves.ru/element/331" TargetMode="External"/><Relationship Id="rId129" Type="http://schemas.openxmlformats.org/officeDocument/2006/relationships/hyperlink" Target="http://skyves.ru/element/1389" TargetMode="External"/><Relationship Id="rId54" Type="http://schemas.openxmlformats.org/officeDocument/2006/relationships/hyperlink" Target="http://skyves.ru/element/1929" TargetMode="External"/><Relationship Id="rId70" Type="http://schemas.openxmlformats.org/officeDocument/2006/relationships/hyperlink" Target="http://skyves.ru/element/1945" TargetMode="External"/><Relationship Id="rId75" Type="http://schemas.openxmlformats.org/officeDocument/2006/relationships/hyperlink" Target="http://skyves.ru/element/1951" TargetMode="External"/><Relationship Id="rId91" Type="http://schemas.openxmlformats.org/officeDocument/2006/relationships/hyperlink" Target="http://skyves.ru/element/2070" TargetMode="External"/><Relationship Id="rId96" Type="http://schemas.openxmlformats.org/officeDocument/2006/relationships/hyperlink" Target="http://skyves.ru/element/2074" TargetMode="External"/><Relationship Id="rId140" Type="http://schemas.openxmlformats.org/officeDocument/2006/relationships/hyperlink" Target="http://skyves.ru/element/578" TargetMode="External"/><Relationship Id="rId145" Type="http://schemas.openxmlformats.org/officeDocument/2006/relationships/hyperlink" Target="http://skyves.ru/element/590" TargetMode="External"/><Relationship Id="rId161" Type="http://schemas.openxmlformats.org/officeDocument/2006/relationships/hyperlink" Target="http://skyves.ru/element/636" TargetMode="External"/><Relationship Id="rId166" Type="http://schemas.openxmlformats.org/officeDocument/2006/relationships/hyperlink" Target="http://skyves.ru/element/645" TargetMode="External"/><Relationship Id="rId182" Type="http://schemas.openxmlformats.org/officeDocument/2006/relationships/vmlDrawing" Target="../drawings/vmlDrawing1.vml"/><Relationship Id="rId1" Type="http://schemas.openxmlformats.org/officeDocument/2006/relationships/hyperlink" Target="http://skyves.ru/element/327" TargetMode="External"/><Relationship Id="rId6" Type="http://schemas.openxmlformats.org/officeDocument/2006/relationships/hyperlink" Target="http://skyves.ru/element/595" TargetMode="External"/><Relationship Id="rId23" Type="http://schemas.openxmlformats.org/officeDocument/2006/relationships/hyperlink" Target="http://skyves.ru/element/624" TargetMode="External"/><Relationship Id="rId28" Type="http://schemas.openxmlformats.org/officeDocument/2006/relationships/hyperlink" Target="http://skyves.ru/element/606" TargetMode="External"/><Relationship Id="rId49" Type="http://schemas.openxmlformats.org/officeDocument/2006/relationships/hyperlink" Target="http://skyves.ru/element/1925" TargetMode="External"/><Relationship Id="rId114" Type="http://schemas.openxmlformats.org/officeDocument/2006/relationships/hyperlink" Target="http://skyves.ru/element/2092" TargetMode="External"/><Relationship Id="rId119" Type="http://schemas.openxmlformats.org/officeDocument/2006/relationships/hyperlink" Target="http://skyves.ru/element/2097" TargetMode="External"/><Relationship Id="rId44" Type="http://schemas.openxmlformats.org/officeDocument/2006/relationships/hyperlink" Target="http://skyves.ru/element/1870" TargetMode="External"/><Relationship Id="rId60" Type="http://schemas.openxmlformats.org/officeDocument/2006/relationships/hyperlink" Target="http://skyves.ru/element/1935" TargetMode="External"/><Relationship Id="rId65" Type="http://schemas.openxmlformats.org/officeDocument/2006/relationships/hyperlink" Target="http://skyves.ru/element/1938" TargetMode="External"/><Relationship Id="rId81" Type="http://schemas.openxmlformats.org/officeDocument/2006/relationships/hyperlink" Target="http://skyves.ru/element/1957" TargetMode="External"/><Relationship Id="rId86" Type="http://schemas.openxmlformats.org/officeDocument/2006/relationships/hyperlink" Target="http://skyves.ru/element/1962" TargetMode="External"/><Relationship Id="rId130" Type="http://schemas.openxmlformats.org/officeDocument/2006/relationships/hyperlink" Target="http://skyves.ru/element/1390" TargetMode="External"/><Relationship Id="rId135" Type="http://schemas.openxmlformats.org/officeDocument/2006/relationships/hyperlink" Target="http://skyves.ru/element/574" TargetMode="External"/><Relationship Id="rId151" Type="http://schemas.openxmlformats.org/officeDocument/2006/relationships/hyperlink" Target="http://skyves.ru/element/630" TargetMode="External"/><Relationship Id="rId156" Type="http://schemas.openxmlformats.org/officeDocument/2006/relationships/hyperlink" Target="http://skyves.ru/element/633" TargetMode="External"/><Relationship Id="rId177" Type="http://schemas.openxmlformats.org/officeDocument/2006/relationships/hyperlink" Target="http://skyves.ru/element/605" TargetMode="External"/><Relationship Id="rId4" Type="http://schemas.openxmlformats.org/officeDocument/2006/relationships/hyperlink" Target="http://skyves.ru/element/324" TargetMode="External"/><Relationship Id="rId9" Type="http://schemas.openxmlformats.org/officeDocument/2006/relationships/hyperlink" Target="http://skyves.ru/element/1689" TargetMode="External"/><Relationship Id="rId172" Type="http://schemas.openxmlformats.org/officeDocument/2006/relationships/hyperlink" Target="http://skyves.ru/element/651" TargetMode="External"/><Relationship Id="rId180" Type="http://schemas.openxmlformats.org/officeDocument/2006/relationships/printerSettings" Target="../printerSettings/printerSettings8.bin"/><Relationship Id="rId13" Type="http://schemas.openxmlformats.org/officeDocument/2006/relationships/hyperlink" Target="http://skyves.ru/element/601" TargetMode="External"/><Relationship Id="rId18" Type="http://schemas.openxmlformats.org/officeDocument/2006/relationships/hyperlink" Target="http://skyves.ru/element/619" TargetMode="External"/><Relationship Id="rId39" Type="http://schemas.openxmlformats.org/officeDocument/2006/relationships/hyperlink" Target="http://skyves.ru/element/616" TargetMode="External"/><Relationship Id="rId109" Type="http://schemas.openxmlformats.org/officeDocument/2006/relationships/hyperlink" Target="http://skyves.ru/element/2087" TargetMode="External"/><Relationship Id="rId34" Type="http://schemas.openxmlformats.org/officeDocument/2006/relationships/hyperlink" Target="http://skyves.ru/element/612" TargetMode="External"/><Relationship Id="rId50" Type="http://schemas.openxmlformats.org/officeDocument/2006/relationships/hyperlink" Target="http://skyves.ru/element/1924" TargetMode="External"/><Relationship Id="rId55" Type="http://schemas.openxmlformats.org/officeDocument/2006/relationships/hyperlink" Target="http://skyves.ru/element/1930" TargetMode="External"/><Relationship Id="rId76" Type="http://schemas.openxmlformats.org/officeDocument/2006/relationships/hyperlink" Target="http://skyves.ru/element/1952" TargetMode="External"/><Relationship Id="rId97" Type="http://schemas.openxmlformats.org/officeDocument/2006/relationships/hyperlink" Target="http://skyves.ru/element/2075" TargetMode="External"/><Relationship Id="rId104" Type="http://schemas.openxmlformats.org/officeDocument/2006/relationships/hyperlink" Target="http://skyves.ru/element/2082" TargetMode="External"/><Relationship Id="rId120" Type="http://schemas.openxmlformats.org/officeDocument/2006/relationships/hyperlink" Target="http://skyves.ru/element/2098" TargetMode="External"/><Relationship Id="rId125" Type="http://schemas.openxmlformats.org/officeDocument/2006/relationships/hyperlink" Target="http://skyves.ru/element/332" TargetMode="External"/><Relationship Id="rId141" Type="http://schemas.openxmlformats.org/officeDocument/2006/relationships/hyperlink" Target="http://skyves.ru/element/579" TargetMode="External"/><Relationship Id="rId146" Type="http://schemas.openxmlformats.org/officeDocument/2006/relationships/hyperlink" Target="http://skyves.ru/element/591" TargetMode="External"/><Relationship Id="rId167" Type="http://schemas.openxmlformats.org/officeDocument/2006/relationships/hyperlink" Target="http://skyves.ru/element/646" TargetMode="External"/><Relationship Id="rId7" Type="http://schemas.openxmlformats.org/officeDocument/2006/relationships/hyperlink" Target="http://skyves.ru/element/596" TargetMode="External"/><Relationship Id="rId71" Type="http://schemas.openxmlformats.org/officeDocument/2006/relationships/hyperlink" Target="http://skyves.ru/element/1946" TargetMode="External"/><Relationship Id="rId92" Type="http://schemas.openxmlformats.org/officeDocument/2006/relationships/hyperlink" Target="http://skyves.ru/element/2069" TargetMode="External"/><Relationship Id="rId162" Type="http://schemas.openxmlformats.org/officeDocument/2006/relationships/hyperlink" Target="http://skyves.ru/element/642" TargetMode="External"/><Relationship Id="rId183" Type="http://schemas.openxmlformats.org/officeDocument/2006/relationships/comments" Target="../comments1.xml"/><Relationship Id="rId2" Type="http://schemas.openxmlformats.org/officeDocument/2006/relationships/hyperlink" Target="http://skyves.ru/element/326" TargetMode="External"/><Relationship Id="rId29" Type="http://schemas.openxmlformats.org/officeDocument/2006/relationships/hyperlink" Target="http://skyves.ru/element/607" TargetMode="External"/><Relationship Id="rId24" Type="http://schemas.openxmlformats.org/officeDocument/2006/relationships/hyperlink" Target="http://skyves.ru/element/625" TargetMode="External"/><Relationship Id="rId40" Type="http://schemas.openxmlformats.org/officeDocument/2006/relationships/hyperlink" Target="http://skyves.ru/element/618" TargetMode="External"/><Relationship Id="rId45" Type="http://schemas.openxmlformats.org/officeDocument/2006/relationships/hyperlink" Target="http://skyves.ru/element/1871" TargetMode="External"/><Relationship Id="rId66" Type="http://schemas.openxmlformats.org/officeDocument/2006/relationships/hyperlink" Target="http://skyves.ru/element/1941" TargetMode="External"/><Relationship Id="rId87" Type="http://schemas.openxmlformats.org/officeDocument/2006/relationships/hyperlink" Target="http://skyves.ru/element/1963" TargetMode="External"/><Relationship Id="rId110" Type="http://schemas.openxmlformats.org/officeDocument/2006/relationships/hyperlink" Target="http://skyves.ru/element/2088" TargetMode="External"/><Relationship Id="rId115" Type="http://schemas.openxmlformats.org/officeDocument/2006/relationships/hyperlink" Target="http://skyves.ru/element/2093" TargetMode="External"/><Relationship Id="rId131" Type="http://schemas.openxmlformats.org/officeDocument/2006/relationships/hyperlink" Target="http://skyves.ru/element/1391" TargetMode="External"/><Relationship Id="rId136" Type="http://schemas.openxmlformats.org/officeDocument/2006/relationships/hyperlink" Target="http://skyves.ru/element/575" TargetMode="External"/><Relationship Id="rId157" Type="http://schemas.openxmlformats.org/officeDocument/2006/relationships/hyperlink" Target="http://skyves.ru/element/634" TargetMode="External"/><Relationship Id="rId178" Type="http://schemas.openxmlformats.org/officeDocument/2006/relationships/hyperlink" Target="http://skyves.ru/element/2342" TargetMode="External"/><Relationship Id="rId61" Type="http://schemas.openxmlformats.org/officeDocument/2006/relationships/hyperlink" Target="http://skyves.ru/element/1936" TargetMode="External"/><Relationship Id="rId82" Type="http://schemas.openxmlformats.org/officeDocument/2006/relationships/hyperlink" Target="http://skyves.ru/element/1958" TargetMode="External"/><Relationship Id="rId152" Type="http://schemas.openxmlformats.org/officeDocument/2006/relationships/hyperlink" Target="http://skyves.ru/element/632" TargetMode="External"/><Relationship Id="rId173" Type="http://schemas.openxmlformats.org/officeDocument/2006/relationships/hyperlink" Target="http://skyves.ru/element/652" TargetMode="External"/><Relationship Id="rId19" Type="http://schemas.openxmlformats.org/officeDocument/2006/relationships/hyperlink" Target="http://skyves.ru/element/620" TargetMode="External"/><Relationship Id="rId14" Type="http://schemas.openxmlformats.org/officeDocument/2006/relationships/hyperlink" Target="http://skyves.ru/element/600" TargetMode="External"/><Relationship Id="rId30" Type="http://schemas.openxmlformats.org/officeDocument/2006/relationships/hyperlink" Target="http://skyves.ru/element/608" TargetMode="External"/><Relationship Id="rId35" Type="http://schemas.openxmlformats.org/officeDocument/2006/relationships/hyperlink" Target="http://skyves.ru/element/613" TargetMode="External"/><Relationship Id="rId56" Type="http://schemas.openxmlformats.org/officeDocument/2006/relationships/hyperlink" Target="http://skyves.ru/element/1931" TargetMode="External"/><Relationship Id="rId77" Type="http://schemas.openxmlformats.org/officeDocument/2006/relationships/hyperlink" Target="http://skyves.ru/element/1953" TargetMode="External"/><Relationship Id="rId100" Type="http://schemas.openxmlformats.org/officeDocument/2006/relationships/hyperlink" Target="http://skyves.ru/element/2078" TargetMode="External"/><Relationship Id="rId105" Type="http://schemas.openxmlformats.org/officeDocument/2006/relationships/hyperlink" Target="http://skyves.ru/element/2083" TargetMode="External"/><Relationship Id="rId126" Type="http://schemas.openxmlformats.org/officeDocument/2006/relationships/hyperlink" Target="http://skyves.ru/element/333" TargetMode="External"/><Relationship Id="rId147" Type="http://schemas.openxmlformats.org/officeDocument/2006/relationships/hyperlink" Target="http://skyves.ru/element/592" TargetMode="External"/><Relationship Id="rId168" Type="http://schemas.openxmlformats.org/officeDocument/2006/relationships/hyperlink" Target="http://skyves.ru/element/648" TargetMode="External"/><Relationship Id="rId8" Type="http://schemas.openxmlformats.org/officeDocument/2006/relationships/hyperlink" Target="http://skyves.ru/element/597" TargetMode="External"/><Relationship Id="rId51" Type="http://schemas.openxmlformats.org/officeDocument/2006/relationships/hyperlink" Target="http://skyves.ru/element/1926" TargetMode="External"/><Relationship Id="rId72" Type="http://schemas.openxmlformats.org/officeDocument/2006/relationships/hyperlink" Target="http://skyves.ru/element/1947" TargetMode="External"/><Relationship Id="rId93" Type="http://schemas.openxmlformats.org/officeDocument/2006/relationships/hyperlink" Target="http://skyves.ru/element/2071" TargetMode="External"/><Relationship Id="rId98" Type="http://schemas.openxmlformats.org/officeDocument/2006/relationships/hyperlink" Target="http://skyves.ru/element/2076" TargetMode="External"/><Relationship Id="rId121" Type="http://schemas.openxmlformats.org/officeDocument/2006/relationships/hyperlink" Target="http://skyves.ru/element/2099" TargetMode="External"/><Relationship Id="rId142" Type="http://schemas.openxmlformats.org/officeDocument/2006/relationships/hyperlink" Target="http://skyves.ru/element/588" TargetMode="External"/><Relationship Id="rId163" Type="http://schemas.openxmlformats.org/officeDocument/2006/relationships/hyperlink" Target="http://skyves.ru/element/637" TargetMode="External"/><Relationship Id="rId3" Type="http://schemas.openxmlformats.org/officeDocument/2006/relationships/hyperlink" Target="http://skyves.ru/element/325" TargetMode="External"/><Relationship Id="rId25" Type="http://schemas.openxmlformats.org/officeDocument/2006/relationships/hyperlink" Target="http://skyves.ru/element/627" TargetMode="External"/><Relationship Id="rId46" Type="http://schemas.openxmlformats.org/officeDocument/2006/relationships/hyperlink" Target="http://skyves.ru/element/1921" TargetMode="External"/><Relationship Id="rId67" Type="http://schemas.openxmlformats.org/officeDocument/2006/relationships/hyperlink" Target="http://skyves.ru/element/1942" TargetMode="External"/><Relationship Id="rId116" Type="http://schemas.openxmlformats.org/officeDocument/2006/relationships/hyperlink" Target="http://skyves.ru/element/2094" TargetMode="External"/><Relationship Id="rId137" Type="http://schemas.openxmlformats.org/officeDocument/2006/relationships/hyperlink" Target="http://skyves.ru/element/580" TargetMode="External"/><Relationship Id="rId158" Type="http://schemas.openxmlformats.org/officeDocument/2006/relationships/hyperlink" Target="http://skyves.ru/element/640" TargetMode="External"/><Relationship Id="rId20" Type="http://schemas.openxmlformats.org/officeDocument/2006/relationships/hyperlink" Target="http://skyves.ru/element/621" TargetMode="External"/><Relationship Id="rId41" Type="http://schemas.openxmlformats.org/officeDocument/2006/relationships/hyperlink" Target="http://skyves.ru/element/1867" TargetMode="External"/><Relationship Id="rId62" Type="http://schemas.openxmlformats.org/officeDocument/2006/relationships/hyperlink" Target="http://skyves.ru/element/1937" TargetMode="External"/><Relationship Id="rId83" Type="http://schemas.openxmlformats.org/officeDocument/2006/relationships/hyperlink" Target="http://skyves.ru/element/1959" TargetMode="External"/><Relationship Id="rId88" Type="http://schemas.openxmlformats.org/officeDocument/2006/relationships/hyperlink" Target="http://skyves.ru/element/1964" TargetMode="External"/><Relationship Id="rId111" Type="http://schemas.openxmlformats.org/officeDocument/2006/relationships/hyperlink" Target="http://skyves.ru/element/2089" TargetMode="External"/><Relationship Id="rId132" Type="http://schemas.openxmlformats.org/officeDocument/2006/relationships/hyperlink" Target="http://skyves.ru/element/1392" TargetMode="External"/><Relationship Id="rId153" Type="http://schemas.openxmlformats.org/officeDocument/2006/relationships/hyperlink" Target="http://skyves.ru/element/639" TargetMode="External"/><Relationship Id="rId174" Type="http://schemas.openxmlformats.org/officeDocument/2006/relationships/hyperlink" Target="http://skyves.ru/element/654" TargetMode="External"/><Relationship Id="rId179" Type="http://schemas.openxmlformats.org/officeDocument/2006/relationships/hyperlink" Target="http://skyves.ru/element/2343" TargetMode="External"/><Relationship Id="rId15" Type="http://schemas.openxmlformats.org/officeDocument/2006/relationships/hyperlink" Target="http://skyves.ru/element/602" TargetMode="External"/><Relationship Id="rId36" Type="http://schemas.openxmlformats.org/officeDocument/2006/relationships/hyperlink" Target="http://skyves.ru/element/614" TargetMode="External"/><Relationship Id="rId57" Type="http://schemas.openxmlformats.org/officeDocument/2006/relationships/hyperlink" Target="http://skyves.ru/element/1932" TargetMode="External"/><Relationship Id="rId106" Type="http://schemas.openxmlformats.org/officeDocument/2006/relationships/hyperlink" Target="http://skyves.ru/element/2084" TargetMode="External"/><Relationship Id="rId127" Type="http://schemas.openxmlformats.org/officeDocument/2006/relationships/hyperlink" Target="http://skyves.ru/element/1381" TargetMode="External"/><Relationship Id="rId10" Type="http://schemas.openxmlformats.org/officeDocument/2006/relationships/hyperlink" Target="http://skyves.ru/element/1690" TargetMode="External"/><Relationship Id="rId31" Type="http://schemas.openxmlformats.org/officeDocument/2006/relationships/hyperlink" Target="http://skyves.ru/element/609" TargetMode="External"/><Relationship Id="rId52" Type="http://schemas.openxmlformats.org/officeDocument/2006/relationships/hyperlink" Target="http://skyves.ru/element/1927" TargetMode="External"/><Relationship Id="rId73" Type="http://schemas.openxmlformats.org/officeDocument/2006/relationships/hyperlink" Target="http://skyves.ru/element/1949" TargetMode="External"/><Relationship Id="rId78" Type="http://schemas.openxmlformats.org/officeDocument/2006/relationships/hyperlink" Target="http://skyves.ru/element/1954" TargetMode="External"/><Relationship Id="rId94" Type="http://schemas.openxmlformats.org/officeDocument/2006/relationships/hyperlink" Target="http://skyves.ru/element/2072" TargetMode="External"/><Relationship Id="rId99" Type="http://schemas.openxmlformats.org/officeDocument/2006/relationships/hyperlink" Target="http://skyves.ru/element/2077" TargetMode="External"/><Relationship Id="rId101" Type="http://schemas.openxmlformats.org/officeDocument/2006/relationships/hyperlink" Target="http://skyves.ru/element/2079" TargetMode="External"/><Relationship Id="rId122" Type="http://schemas.openxmlformats.org/officeDocument/2006/relationships/hyperlink" Target="http://skyves.ru/element/330" TargetMode="External"/><Relationship Id="rId143" Type="http://schemas.openxmlformats.org/officeDocument/2006/relationships/hyperlink" Target="http://skyves.ru/element/589" TargetMode="External"/><Relationship Id="rId148" Type="http://schemas.openxmlformats.org/officeDocument/2006/relationships/hyperlink" Target="http://skyves.ru/element/1688" TargetMode="External"/><Relationship Id="rId164" Type="http://schemas.openxmlformats.org/officeDocument/2006/relationships/hyperlink" Target="http://skyves.ru/element/643" TargetMode="External"/><Relationship Id="rId169" Type="http://schemas.openxmlformats.org/officeDocument/2006/relationships/hyperlink" Target="http://skyves.ru/element/647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://skyves.ru/element/1005" TargetMode="External"/><Relationship Id="rId18" Type="http://schemas.openxmlformats.org/officeDocument/2006/relationships/hyperlink" Target="http://skyves.ru/element/1839" TargetMode="External"/><Relationship Id="rId26" Type="http://schemas.openxmlformats.org/officeDocument/2006/relationships/hyperlink" Target="http://skyves.ru/element/1847" TargetMode="External"/><Relationship Id="rId39" Type="http://schemas.openxmlformats.org/officeDocument/2006/relationships/hyperlink" Target="http://skyves.ru/element/1860" TargetMode="External"/><Relationship Id="rId21" Type="http://schemas.openxmlformats.org/officeDocument/2006/relationships/hyperlink" Target="http://skyves.ru/element/1842" TargetMode="External"/><Relationship Id="rId34" Type="http://schemas.openxmlformats.org/officeDocument/2006/relationships/hyperlink" Target="http://skyves.ru/element/1855" TargetMode="External"/><Relationship Id="rId42" Type="http://schemas.openxmlformats.org/officeDocument/2006/relationships/hyperlink" Target="http://skyves.ru/element/2153" TargetMode="External"/><Relationship Id="rId47" Type="http://schemas.openxmlformats.org/officeDocument/2006/relationships/hyperlink" Target="http://skyves.ru/element/2158" TargetMode="External"/><Relationship Id="rId50" Type="http://schemas.openxmlformats.org/officeDocument/2006/relationships/hyperlink" Target="http://skyves.ru/element/2161" TargetMode="External"/><Relationship Id="rId55" Type="http://schemas.openxmlformats.org/officeDocument/2006/relationships/hyperlink" Target="http://skyves.ru/element/2166" TargetMode="External"/><Relationship Id="rId63" Type="http://schemas.openxmlformats.org/officeDocument/2006/relationships/hyperlink" Target="http://skyves.ru/element/2325" TargetMode="External"/><Relationship Id="rId68" Type="http://schemas.openxmlformats.org/officeDocument/2006/relationships/hyperlink" Target="http://skyves.ru/element/2333" TargetMode="External"/><Relationship Id="rId76" Type="http://schemas.openxmlformats.org/officeDocument/2006/relationships/hyperlink" Target="http://skyves.ru/element/2341" TargetMode="External"/><Relationship Id="rId84" Type="http://schemas.openxmlformats.org/officeDocument/2006/relationships/hyperlink" Target="http://skyves.ru/element/2464" TargetMode="External"/><Relationship Id="rId89" Type="http://schemas.openxmlformats.org/officeDocument/2006/relationships/hyperlink" Target="http://skyves.ru/element/2469" TargetMode="External"/><Relationship Id="rId7" Type="http://schemas.openxmlformats.org/officeDocument/2006/relationships/hyperlink" Target="http://skyves.ru/element/998" TargetMode="External"/><Relationship Id="rId71" Type="http://schemas.openxmlformats.org/officeDocument/2006/relationships/hyperlink" Target="http://skyves.ru/element/2336" TargetMode="External"/><Relationship Id="rId92" Type="http://schemas.openxmlformats.org/officeDocument/2006/relationships/hyperlink" Target="http://skyves.ru/element/2472" TargetMode="External"/><Relationship Id="rId2" Type="http://schemas.openxmlformats.org/officeDocument/2006/relationships/hyperlink" Target="http://skyves.ru/element/993" TargetMode="External"/><Relationship Id="rId16" Type="http://schemas.openxmlformats.org/officeDocument/2006/relationships/hyperlink" Target="http://skyves.ru/element/1832" TargetMode="External"/><Relationship Id="rId29" Type="http://schemas.openxmlformats.org/officeDocument/2006/relationships/hyperlink" Target="http://skyves.ru/element/1850" TargetMode="External"/><Relationship Id="rId11" Type="http://schemas.openxmlformats.org/officeDocument/2006/relationships/hyperlink" Target="http://skyves.ru/element/1003" TargetMode="External"/><Relationship Id="rId24" Type="http://schemas.openxmlformats.org/officeDocument/2006/relationships/hyperlink" Target="http://skyves.ru/element/1845" TargetMode="External"/><Relationship Id="rId32" Type="http://schemas.openxmlformats.org/officeDocument/2006/relationships/hyperlink" Target="http://skyves.ru/element/1853" TargetMode="External"/><Relationship Id="rId37" Type="http://schemas.openxmlformats.org/officeDocument/2006/relationships/hyperlink" Target="http://skyves.ru/element/1858" TargetMode="External"/><Relationship Id="rId40" Type="http://schemas.openxmlformats.org/officeDocument/2006/relationships/hyperlink" Target="http://skyves.ru/element/1861" TargetMode="External"/><Relationship Id="rId45" Type="http://schemas.openxmlformats.org/officeDocument/2006/relationships/hyperlink" Target="http://skyves.ru/element/2156" TargetMode="External"/><Relationship Id="rId53" Type="http://schemas.openxmlformats.org/officeDocument/2006/relationships/hyperlink" Target="http://skyves.ru/element/2164" TargetMode="External"/><Relationship Id="rId58" Type="http://schemas.openxmlformats.org/officeDocument/2006/relationships/hyperlink" Target="http://skyves.ru/element/2169" TargetMode="External"/><Relationship Id="rId66" Type="http://schemas.openxmlformats.org/officeDocument/2006/relationships/hyperlink" Target="http://skyves.ru/element/992" TargetMode="External"/><Relationship Id="rId74" Type="http://schemas.openxmlformats.org/officeDocument/2006/relationships/hyperlink" Target="http://skyves.ru/element/2339" TargetMode="External"/><Relationship Id="rId79" Type="http://schemas.openxmlformats.org/officeDocument/2006/relationships/hyperlink" Target="http://skyves.ru/element/2459" TargetMode="External"/><Relationship Id="rId87" Type="http://schemas.openxmlformats.org/officeDocument/2006/relationships/hyperlink" Target="http://skyves.ru/element/2467" TargetMode="External"/><Relationship Id="rId5" Type="http://schemas.openxmlformats.org/officeDocument/2006/relationships/hyperlink" Target="http://skyves.ru/element/996" TargetMode="External"/><Relationship Id="rId61" Type="http://schemas.openxmlformats.org/officeDocument/2006/relationships/hyperlink" Target="http://skyves.ru/element/2323" TargetMode="External"/><Relationship Id="rId82" Type="http://schemas.openxmlformats.org/officeDocument/2006/relationships/hyperlink" Target="http://skyves.ru/element/2462" TargetMode="External"/><Relationship Id="rId90" Type="http://schemas.openxmlformats.org/officeDocument/2006/relationships/hyperlink" Target="http://skyves.ru/element/2470" TargetMode="External"/><Relationship Id="rId95" Type="http://schemas.openxmlformats.org/officeDocument/2006/relationships/printerSettings" Target="../printerSettings/printerSettings9.bin"/><Relationship Id="rId19" Type="http://schemas.openxmlformats.org/officeDocument/2006/relationships/hyperlink" Target="http://skyves.ru/element/1840" TargetMode="External"/><Relationship Id="rId14" Type="http://schemas.openxmlformats.org/officeDocument/2006/relationships/hyperlink" Target="http://skyves.ru/element/1007" TargetMode="External"/><Relationship Id="rId22" Type="http://schemas.openxmlformats.org/officeDocument/2006/relationships/hyperlink" Target="http://skyves.ru/element/1843" TargetMode="External"/><Relationship Id="rId27" Type="http://schemas.openxmlformats.org/officeDocument/2006/relationships/hyperlink" Target="http://skyves.ru/element/1848" TargetMode="External"/><Relationship Id="rId30" Type="http://schemas.openxmlformats.org/officeDocument/2006/relationships/hyperlink" Target="http://skyves.ru/element/1851" TargetMode="External"/><Relationship Id="rId35" Type="http://schemas.openxmlformats.org/officeDocument/2006/relationships/hyperlink" Target="http://skyves.ru/element/1856" TargetMode="External"/><Relationship Id="rId43" Type="http://schemas.openxmlformats.org/officeDocument/2006/relationships/hyperlink" Target="http://skyves.ru/element/2154" TargetMode="External"/><Relationship Id="rId48" Type="http://schemas.openxmlformats.org/officeDocument/2006/relationships/hyperlink" Target="http://skyves.ru/element/2159" TargetMode="External"/><Relationship Id="rId56" Type="http://schemas.openxmlformats.org/officeDocument/2006/relationships/hyperlink" Target="http://skyves.ru/element/2167" TargetMode="External"/><Relationship Id="rId64" Type="http://schemas.openxmlformats.org/officeDocument/2006/relationships/hyperlink" Target="http://skyves.ru/element/2326" TargetMode="External"/><Relationship Id="rId69" Type="http://schemas.openxmlformats.org/officeDocument/2006/relationships/hyperlink" Target="http://skyves.ru/element/2334" TargetMode="External"/><Relationship Id="rId77" Type="http://schemas.openxmlformats.org/officeDocument/2006/relationships/hyperlink" Target="http://skyves.ru/element/2457" TargetMode="External"/><Relationship Id="rId8" Type="http://schemas.openxmlformats.org/officeDocument/2006/relationships/hyperlink" Target="http://skyves.ru/element/999" TargetMode="External"/><Relationship Id="rId51" Type="http://schemas.openxmlformats.org/officeDocument/2006/relationships/hyperlink" Target="http://skyves.ru/element/2162" TargetMode="External"/><Relationship Id="rId72" Type="http://schemas.openxmlformats.org/officeDocument/2006/relationships/hyperlink" Target="http://skyves.ru/element/2337" TargetMode="External"/><Relationship Id="rId80" Type="http://schemas.openxmlformats.org/officeDocument/2006/relationships/hyperlink" Target="http://skyves.ru/element/2460" TargetMode="External"/><Relationship Id="rId85" Type="http://schemas.openxmlformats.org/officeDocument/2006/relationships/hyperlink" Target="http://skyves.ru/element/2465" TargetMode="External"/><Relationship Id="rId93" Type="http://schemas.openxmlformats.org/officeDocument/2006/relationships/hyperlink" Target="http://skyves.ru/element/2473" TargetMode="External"/><Relationship Id="rId3" Type="http://schemas.openxmlformats.org/officeDocument/2006/relationships/hyperlink" Target="http://skyves.ru/element/994" TargetMode="External"/><Relationship Id="rId12" Type="http://schemas.openxmlformats.org/officeDocument/2006/relationships/hyperlink" Target="http://skyves.ru/element/1004" TargetMode="External"/><Relationship Id="rId17" Type="http://schemas.openxmlformats.org/officeDocument/2006/relationships/hyperlink" Target="http://skyves.ru/element/1837" TargetMode="External"/><Relationship Id="rId25" Type="http://schemas.openxmlformats.org/officeDocument/2006/relationships/hyperlink" Target="http://skyves.ru/element/1846" TargetMode="External"/><Relationship Id="rId33" Type="http://schemas.openxmlformats.org/officeDocument/2006/relationships/hyperlink" Target="http://skyves.ru/element/1854" TargetMode="External"/><Relationship Id="rId38" Type="http://schemas.openxmlformats.org/officeDocument/2006/relationships/hyperlink" Target="http://skyves.ru/element/1859" TargetMode="External"/><Relationship Id="rId46" Type="http://schemas.openxmlformats.org/officeDocument/2006/relationships/hyperlink" Target="http://skyves.ru/element/2157" TargetMode="External"/><Relationship Id="rId59" Type="http://schemas.openxmlformats.org/officeDocument/2006/relationships/hyperlink" Target="http://skyves.ru/element/2170" TargetMode="External"/><Relationship Id="rId67" Type="http://schemas.openxmlformats.org/officeDocument/2006/relationships/hyperlink" Target="http://skyves.ru/element/2332" TargetMode="External"/><Relationship Id="rId20" Type="http://schemas.openxmlformats.org/officeDocument/2006/relationships/hyperlink" Target="http://skyves.ru/element/1841" TargetMode="External"/><Relationship Id="rId41" Type="http://schemas.openxmlformats.org/officeDocument/2006/relationships/hyperlink" Target="http://skyves.ru/element/1838" TargetMode="External"/><Relationship Id="rId54" Type="http://schemas.openxmlformats.org/officeDocument/2006/relationships/hyperlink" Target="http://skyves.ru/element/2165" TargetMode="External"/><Relationship Id="rId62" Type="http://schemas.openxmlformats.org/officeDocument/2006/relationships/hyperlink" Target="http://skyves.ru/element/2324" TargetMode="External"/><Relationship Id="rId70" Type="http://schemas.openxmlformats.org/officeDocument/2006/relationships/hyperlink" Target="http://skyves.ru/element/2335" TargetMode="External"/><Relationship Id="rId75" Type="http://schemas.openxmlformats.org/officeDocument/2006/relationships/hyperlink" Target="http://skyves.ru/element/2340" TargetMode="External"/><Relationship Id="rId83" Type="http://schemas.openxmlformats.org/officeDocument/2006/relationships/hyperlink" Target="http://skyves.ru/element/2463" TargetMode="External"/><Relationship Id="rId88" Type="http://schemas.openxmlformats.org/officeDocument/2006/relationships/hyperlink" Target="http://skyves.ru/element/2468" TargetMode="External"/><Relationship Id="rId91" Type="http://schemas.openxmlformats.org/officeDocument/2006/relationships/hyperlink" Target="http://skyves.ru/element/2471" TargetMode="External"/><Relationship Id="rId96" Type="http://schemas.openxmlformats.org/officeDocument/2006/relationships/drawing" Target="../drawings/drawing11.xml"/><Relationship Id="rId1" Type="http://schemas.openxmlformats.org/officeDocument/2006/relationships/hyperlink" Target="http://skyves.ru/element/991" TargetMode="External"/><Relationship Id="rId6" Type="http://schemas.openxmlformats.org/officeDocument/2006/relationships/hyperlink" Target="http://skyves.ru/element/997" TargetMode="External"/><Relationship Id="rId15" Type="http://schemas.openxmlformats.org/officeDocument/2006/relationships/hyperlink" Target="http://skyves.ru/element/1831" TargetMode="External"/><Relationship Id="rId23" Type="http://schemas.openxmlformats.org/officeDocument/2006/relationships/hyperlink" Target="http://skyves.ru/element/1844" TargetMode="External"/><Relationship Id="rId28" Type="http://schemas.openxmlformats.org/officeDocument/2006/relationships/hyperlink" Target="http://skyves.ru/element/1849" TargetMode="External"/><Relationship Id="rId36" Type="http://schemas.openxmlformats.org/officeDocument/2006/relationships/hyperlink" Target="http://skyves.ru/element/1857" TargetMode="External"/><Relationship Id="rId49" Type="http://schemas.openxmlformats.org/officeDocument/2006/relationships/hyperlink" Target="http://skyves.ru/element/2160" TargetMode="External"/><Relationship Id="rId57" Type="http://schemas.openxmlformats.org/officeDocument/2006/relationships/hyperlink" Target="http://skyves.ru/element/2168" TargetMode="External"/><Relationship Id="rId10" Type="http://schemas.openxmlformats.org/officeDocument/2006/relationships/hyperlink" Target="http://skyves.ru/element/1002" TargetMode="External"/><Relationship Id="rId31" Type="http://schemas.openxmlformats.org/officeDocument/2006/relationships/hyperlink" Target="http://skyves.ru/element/1852" TargetMode="External"/><Relationship Id="rId44" Type="http://schemas.openxmlformats.org/officeDocument/2006/relationships/hyperlink" Target="http://skyves.ru/element/2155" TargetMode="External"/><Relationship Id="rId52" Type="http://schemas.openxmlformats.org/officeDocument/2006/relationships/hyperlink" Target="http://skyves.ru/element/2163" TargetMode="External"/><Relationship Id="rId60" Type="http://schemas.openxmlformats.org/officeDocument/2006/relationships/hyperlink" Target="http://skyves.ru/element/2304" TargetMode="External"/><Relationship Id="rId65" Type="http://schemas.openxmlformats.org/officeDocument/2006/relationships/hyperlink" Target="http://skyves.ru/element/990" TargetMode="External"/><Relationship Id="rId73" Type="http://schemas.openxmlformats.org/officeDocument/2006/relationships/hyperlink" Target="http://skyves.ru/element/2338" TargetMode="External"/><Relationship Id="rId78" Type="http://schemas.openxmlformats.org/officeDocument/2006/relationships/hyperlink" Target="http://skyves.ru/element/2458" TargetMode="External"/><Relationship Id="rId81" Type="http://schemas.openxmlformats.org/officeDocument/2006/relationships/hyperlink" Target="http://skyves.ru/element/2461" TargetMode="External"/><Relationship Id="rId86" Type="http://schemas.openxmlformats.org/officeDocument/2006/relationships/hyperlink" Target="http://skyves.ru/element/2466" TargetMode="External"/><Relationship Id="rId94" Type="http://schemas.openxmlformats.org/officeDocument/2006/relationships/hyperlink" Target="http://skyves.ru/element/2474" TargetMode="External"/><Relationship Id="rId4" Type="http://schemas.openxmlformats.org/officeDocument/2006/relationships/hyperlink" Target="http://skyves.ru/element/995" TargetMode="External"/><Relationship Id="rId9" Type="http://schemas.openxmlformats.org/officeDocument/2006/relationships/hyperlink" Target="http://skyves.ru/element/1000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http://skyves.ru/element/458" TargetMode="External"/><Relationship Id="rId117" Type="http://schemas.openxmlformats.org/officeDocument/2006/relationships/hyperlink" Target="http://skyves.ru/element/1642" TargetMode="External"/><Relationship Id="rId21" Type="http://schemas.openxmlformats.org/officeDocument/2006/relationships/hyperlink" Target="http://skyves.ru/element/456" TargetMode="External"/><Relationship Id="rId42" Type="http://schemas.openxmlformats.org/officeDocument/2006/relationships/hyperlink" Target="http://skyves.ru/element/1610" TargetMode="External"/><Relationship Id="rId47" Type="http://schemas.openxmlformats.org/officeDocument/2006/relationships/hyperlink" Target="http://skyves.ru/element/1629" TargetMode="External"/><Relationship Id="rId63" Type="http://schemas.openxmlformats.org/officeDocument/2006/relationships/hyperlink" Target="http://skyves.ru/element/271" TargetMode="External"/><Relationship Id="rId68" Type="http://schemas.openxmlformats.org/officeDocument/2006/relationships/hyperlink" Target="http://skyves.ru/element/261" TargetMode="External"/><Relationship Id="rId84" Type="http://schemas.openxmlformats.org/officeDocument/2006/relationships/hyperlink" Target="http://skyves.ru/element/187" TargetMode="External"/><Relationship Id="rId89" Type="http://schemas.openxmlformats.org/officeDocument/2006/relationships/hyperlink" Target="http://skyves.ru/element/1373" TargetMode="External"/><Relationship Id="rId112" Type="http://schemas.openxmlformats.org/officeDocument/2006/relationships/hyperlink" Target="http://skyves.ru/element/1625" TargetMode="External"/><Relationship Id="rId16" Type="http://schemas.openxmlformats.org/officeDocument/2006/relationships/hyperlink" Target="http://skyves.ru/element/448" TargetMode="External"/><Relationship Id="rId107" Type="http://schemas.openxmlformats.org/officeDocument/2006/relationships/hyperlink" Target="http://skyves.ru/element/1626" TargetMode="External"/><Relationship Id="rId11" Type="http://schemas.openxmlformats.org/officeDocument/2006/relationships/hyperlink" Target="http://skyves.ru/element/439" TargetMode="External"/><Relationship Id="rId32" Type="http://schemas.openxmlformats.org/officeDocument/2006/relationships/hyperlink" Target="http://skyves.ru/element/1600" TargetMode="External"/><Relationship Id="rId37" Type="http://schemas.openxmlformats.org/officeDocument/2006/relationships/hyperlink" Target="http://skyves.ru/element/1605" TargetMode="External"/><Relationship Id="rId53" Type="http://schemas.openxmlformats.org/officeDocument/2006/relationships/hyperlink" Target="http://skyves.ru/element/1639" TargetMode="External"/><Relationship Id="rId58" Type="http://schemas.openxmlformats.org/officeDocument/2006/relationships/hyperlink" Target="http://skyves.ru/element/269" TargetMode="External"/><Relationship Id="rId74" Type="http://schemas.openxmlformats.org/officeDocument/2006/relationships/hyperlink" Target="http://skyves.ru/element/264" TargetMode="External"/><Relationship Id="rId79" Type="http://schemas.openxmlformats.org/officeDocument/2006/relationships/hyperlink" Target="http://skyves.ru/element/182" TargetMode="External"/><Relationship Id="rId102" Type="http://schemas.openxmlformats.org/officeDocument/2006/relationships/hyperlink" Target="http://skyves.ru/element/1618" TargetMode="External"/><Relationship Id="rId123" Type="http://schemas.openxmlformats.org/officeDocument/2006/relationships/hyperlink" Target="http://skyves.ru/element/1648" TargetMode="External"/><Relationship Id="rId128" Type="http://schemas.openxmlformats.org/officeDocument/2006/relationships/printerSettings" Target="../printerSettings/printerSettings10.bin"/><Relationship Id="rId5" Type="http://schemas.openxmlformats.org/officeDocument/2006/relationships/hyperlink" Target="http://skyves.ru/element/125" TargetMode="External"/><Relationship Id="rId90" Type="http://schemas.openxmlformats.org/officeDocument/2006/relationships/hyperlink" Target="http://skyves.ru/element/1374" TargetMode="External"/><Relationship Id="rId95" Type="http://schemas.openxmlformats.org/officeDocument/2006/relationships/hyperlink" Target="http://skyves.ru/element/1611" TargetMode="External"/><Relationship Id="rId19" Type="http://schemas.openxmlformats.org/officeDocument/2006/relationships/hyperlink" Target="http://skyves.ru/element/454" TargetMode="External"/><Relationship Id="rId14" Type="http://schemas.openxmlformats.org/officeDocument/2006/relationships/hyperlink" Target="http://skyves.ru/element/446" TargetMode="External"/><Relationship Id="rId22" Type="http://schemas.openxmlformats.org/officeDocument/2006/relationships/hyperlink" Target="http://skyves.ru/element/457" TargetMode="External"/><Relationship Id="rId27" Type="http://schemas.openxmlformats.org/officeDocument/2006/relationships/hyperlink" Target="http://skyves.ru/element/450" TargetMode="External"/><Relationship Id="rId30" Type="http://schemas.openxmlformats.org/officeDocument/2006/relationships/hyperlink" Target="http://skyves.ru/element/453" TargetMode="External"/><Relationship Id="rId35" Type="http://schemas.openxmlformats.org/officeDocument/2006/relationships/hyperlink" Target="http://skyves.ru/element/1603" TargetMode="External"/><Relationship Id="rId43" Type="http://schemas.openxmlformats.org/officeDocument/2006/relationships/hyperlink" Target="http://skyves.ru/element/1633" TargetMode="External"/><Relationship Id="rId48" Type="http://schemas.openxmlformats.org/officeDocument/2006/relationships/hyperlink" Target="http://skyves.ru/element/1631" TargetMode="External"/><Relationship Id="rId56" Type="http://schemas.openxmlformats.org/officeDocument/2006/relationships/hyperlink" Target="http://skyves.ru/element/266" TargetMode="External"/><Relationship Id="rId64" Type="http://schemas.openxmlformats.org/officeDocument/2006/relationships/hyperlink" Target="http://skyves.ru/element/268" TargetMode="External"/><Relationship Id="rId69" Type="http://schemas.openxmlformats.org/officeDocument/2006/relationships/hyperlink" Target="http://skyves.ru/element/258" TargetMode="External"/><Relationship Id="rId77" Type="http://schemas.openxmlformats.org/officeDocument/2006/relationships/hyperlink" Target="http://skyves.ru/element/237" TargetMode="External"/><Relationship Id="rId100" Type="http://schemas.openxmlformats.org/officeDocument/2006/relationships/hyperlink" Target="http://skyves.ru/element/1616" TargetMode="External"/><Relationship Id="rId105" Type="http://schemas.openxmlformats.org/officeDocument/2006/relationships/hyperlink" Target="http://skyves.ru/element/1618" TargetMode="External"/><Relationship Id="rId113" Type="http://schemas.openxmlformats.org/officeDocument/2006/relationships/hyperlink" Target="http://skyves.ru/element/443" TargetMode="External"/><Relationship Id="rId118" Type="http://schemas.openxmlformats.org/officeDocument/2006/relationships/hyperlink" Target="http://skyves.ru/element/1643" TargetMode="External"/><Relationship Id="rId126" Type="http://schemas.openxmlformats.org/officeDocument/2006/relationships/hyperlink" Target="http://skyves.ru/element/2329" TargetMode="External"/><Relationship Id="rId8" Type="http://schemas.openxmlformats.org/officeDocument/2006/relationships/hyperlink" Target="http://skyves.ru/element/122" TargetMode="External"/><Relationship Id="rId51" Type="http://schemas.openxmlformats.org/officeDocument/2006/relationships/hyperlink" Target="http://skyves.ru/element/1637" TargetMode="External"/><Relationship Id="rId72" Type="http://schemas.openxmlformats.org/officeDocument/2006/relationships/hyperlink" Target="http://skyves.ru/element/263" TargetMode="External"/><Relationship Id="rId80" Type="http://schemas.openxmlformats.org/officeDocument/2006/relationships/hyperlink" Target="http://skyves.ru/element/183" TargetMode="External"/><Relationship Id="rId85" Type="http://schemas.openxmlformats.org/officeDocument/2006/relationships/hyperlink" Target="http://skyves.ru/element/188" TargetMode="External"/><Relationship Id="rId93" Type="http://schemas.openxmlformats.org/officeDocument/2006/relationships/hyperlink" Target="http://skyves.ru/element/2016" TargetMode="External"/><Relationship Id="rId98" Type="http://schemas.openxmlformats.org/officeDocument/2006/relationships/hyperlink" Target="http://skyves.ru/element/1614" TargetMode="External"/><Relationship Id="rId121" Type="http://schemas.openxmlformats.org/officeDocument/2006/relationships/hyperlink" Target="http://skyves.ru/element/1646" TargetMode="External"/><Relationship Id="rId3" Type="http://schemas.openxmlformats.org/officeDocument/2006/relationships/hyperlink" Target="http://skyves.ru/element/121" TargetMode="External"/><Relationship Id="rId12" Type="http://schemas.openxmlformats.org/officeDocument/2006/relationships/hyperlink" Target="http://skyves.ru/element/440" TargetMode="External"/><Relationship Id="rId17" Type="http://schemas.openxmlformats.org/officeDocument/2006/relationships/hyperlink" Target="http://skyves.ru/element/449" TargetMode="External"/><Relationship Id="rId25" Type="http://schemas.openxmlformats.org/officeDocument/2006/relationships/hyperlink" Target="http://skyves.ru/element/459" TargetMode="External"/><Relationship Id="rId33" Type="http://schemas.openxmlformats.org/officeDocument/2006/relationships/hyperlink" Target="http://skyves.ru/element/1601" TargetMode="External"/><Relationship Id="rId38" Type="http://schemas.openxmlformats.org/officeDocument/2006/relationships/hyperlink" Target="http://skyves.ru/element/1606" TargetMode="External"/><Relationship Id="rId46" Type="http://schemas.openxmlformats.org/officeDocument/2006/relationships/hyperlink" Target="http://skyves.ru/element/1630" TargetMode="External"/><Relationship Id="rId59" Type="http://schemas.openxmlformats.org/officeDocument/2006/relationships/hyperlink" Target="http://skyves.ru/element/274" TargetMode="External"/><Relationship Id="rId67" Type="http://schemas.openxmlformats.org/officeDocument/2006/relationships/hyperlink" Target="http://skyves.ru/element/257" TargetMode="External"/><Relationship Id="rId103" Type="http://schemas.openxmlformats.org/officeDocument/2006/relationships/hyperlink" Target="http://skyves.ru/element/1619" TargetMode="External"/><Relationship Id="rId108" Type="http://schemas.openxmlformats.org/officeDocument/2006/relationships/hyperlink" Target="http://skyves.ru/element/1627" TargetMode="External"/><Relationship Id="rId116" Type="http://schemas.openxmlformats.org/officeDocument/2006/relationships/hyperlink" Target="http://skyves.ru/element/1641" TargetMode="External"/><Relationship Id="rId124" Type="http://schemas.openxmlformats.org/officeDocument/2006/relationships/hyperlink" Target="http://skyves.ru/element/2327" TargetMode="External"/><Relationship Id="rId129" Type="http://schemas.openxmlformats.org/officeDocument/2006/relationships/drawing" Target="../drawings/drawing12.xml"/><Relationship Id="rId20" Type="http://schemas.openxmlformats.org/officeDocument/2006/relationships/hyperlink" Target="http://skyves.ru/element/455" TargetMode="External"/><Relationship Id="rId41" Type="http://schemas.openxmlformats.org/officeDocument/2006/relationships/hyperlink" Target="http://skyves.ru/element/1609" TargetMode="External"/><Relationship Id="rId54" Type="http://schemas.openxmlformats.org/officeDocument/2006/relationships/hyperlink" Target="http://skyves.ru/element/1640" TargetMode="External"/><Relationship Id="rId62" Type="http://schemas.openxmlformats.org/officeDocument/2006/relationships/hyperlink" Target="http://skyves.ru/element/275" TargetMode="External"/><Relationship Id="rId70" Type="http://schemas.openxmlformats.org/officeDocument/2006/relationships/hyperlink" Target="http://skyves.ru/element/262" TargetMode="External"/><Relationship Id="rId75" Type="http://schemas.openxmlformats.org/officeDocument/2006/relationships/hyperlink" Target="http://skyves.ru/element/181" TargetMode="External"/><Relationship Id="rId83" Type="http://schemas.openxmlformats.org/officeDocument/2006/relationships/hyperlink" Target="http://skyves.ru/element/186" TargetMode="External"/><Relationship Id="rId88" Type="http://schemas.openxmlformats.org/officeDocument/2006/relationships/hyperlink" Target="http://skyves.ru/element/191" TargetMode="External"/><Relationship Id="rId91" Type="http://schemas.openxmlformats.org/officeDocument/2006/relationships/hyperlink" Target="http://skyves.ru/element/1375" TargetMode="External"/><Relationship Id="rId96" Type="http://schemas.openxmlformats.org/officeDocument/2006/relationships/hyperlink" Target="http://skyves.ru/element/1612" TargetMode="External"/><Relationship Id="rId111" Type="http://schemas.openxmlformats.org/officeDocument/2006/relationships/hyperlink" Target="http://skyves.ru/element/1624" TargetMode="External"/><Relationship Id="rId1" Type="http://schemas.openxmlformats.org/officeDocument/2006/relationships/hyperlink" Target="http://skyves.ru/element/119" TargetMode="External"/><Relationship Id="rId6" Type="http://schemas.openxmlformats.org/officeDocument/2006/relationships/hyperlink" Target="http://skyves.ru/element/117" TargetMode="External"/><Relationship Id="rId15" Type="http://schemas.openxmlformats.org/officeDocument/2006/relationships/hyperlink" Target="http://skyves.ru/element/447" TargetMode="External"/><Relationship Id="rId23" Type="http://schemas.openxmlformats.org/officeDocument/2006/relationships/hyperlink" Target="http://skyves.ru/element/461" TargetMode="External"/><Relationship Id="rId28" Type="http://schemas.openxmlformats.org/officeDocument/2006/relationships/hyperlink" Target="http://skyves.ru/element/451" TargetMode="External"/><Relationship Id="rId36" Type="http://schemas.openxmlformats.org/officeDocument/2006/relationships/hyperlink" Target="http://skyves.ru/element/1604" TargetMode="External"/><Relationship Id="rId49" Type="http://schemas.openxmlformats.org/officeDocument/2006/relationships/hyperlink" Target="http://skyves.ru/element/1635" TargetMode="External"/><Relationship Id="rId57" Type="http://schemas.openxmlformats.org/officeDocument/2006/relationships/hyperlink" Target="http://skyves.ru/element/273" TargetMode="External"/><Relationship Id="rId106" Type="http://schemas.openxmlformats.org/officeDocument/2006/relationships/hyperlink" Target="http://skyves.ru/element/1619" TargetMode="External"/><Relationship Id="rId114" Type="http://schemas.openxmlformats.org/officeDocument/2006/relationships/hyperlink" Target="http://skyves.ru/element/444" TargetMode="External"/><Relationship Id="rId119" Type="http://schemas.openxmlformats.org/officeDocument/2006/relationships/hyperlink" Target="http://skyves.ru/element/1644" TargetMode="External"/><Relationship Id="rId127" Type="http://schemas.openxmlformats.org/officeDocument/2006/relationships/hyperlink" Target="http://skyves.ru/element/2330" TargetMode="External"/><Relationship Id="rId10" Type="http://schemas.openxmlformats.org/officeDocument/2006/relationships/hyperlink" Target="http://skyves.ru/element/438" TargetMode="External"/><Relationship Id="rId31" Type="http://schemas.openxmlformats.org/officeDocument/2006/relationships/hyperlink" Target="http://skyves.ru/element/1599" TargetMode="External"/><Relationship Id="rId44" Type="http://schemas.openxmlformats.org/officeDocument/2006/relationships/hyperlink" Target="http://skyves.ru/element/1634" TargetMode="External"/><Relationship Id="rId52" Type="http://schemas.openxmlformats.org/officeDocument/2006/relationships/hyperlink" Target="http://skyves.ru/element/1638" TargetMode="External"/><Relationship Id="rId60" Type="http://schemas.openxmlformats.org/officeDocument/2006/relationships/hyperlink" Target="http://skyves.ru/element/270" TargetMode="External"/><Relationship Id="rId65" Type="http://schemas.openxmlformats.org/officeDocument/2006/relationships/hyperlink" Target="http://skyves.ru/element/276" TargetMode="External"/><Relationship Id="rId73" Type="http://schemas.openxmlformats.org/officeDocument/2006/relationships/hyperlink" Target="http://skyves.ru/element/260" TargetMode="External"/><Relationship Id="rId78" Type="http://schemas.openxmlformats.org/officeDocument/2006/relationships/hyperlink" Target="http://skyves.ru/element/238" TargetMode="External"/><Relationship Id="rId81" Type="http://schemas.openxmlformats.org/officeDocument/2006/relationships/hyperlink" Target="http://skyves.ru/element/184" TargetMode="External"/><Relationship Id="rId86" Type="http://schemas.openxmlformats.org/officeDocument/2006/relationships/hyperlink" Target="http://skyves.ru/element/189" TargetMode="External"/><Relationship Id="rId94" Type="http://schemas.openxmlformats.org/officeDocument/2006/relationships/hyperlink" Target="http://skyves.ru/element/2017" TargetMode="External"/><Relationship Id="rId99" Type="http://schemas.openxmlformats.org/officeDocument/2006/relationships/hyperlink" Target="http://skyves.ru/element/1615" TargetMode="External"/><Relationship Id="rId101" Type="http://schemas.openxmlformats.org/officeDocument/2006/relationships/hyperlink" Target="http://skyves.ru/element/1617" TargetMode="External"/><Relationship Id="rId122" Type="http://schemas.openxmlformats.org/officeDocument/2006/relationships/hyperlink" Target="http://skyves.ru/element/1647" TargetMode="External"/><Relationship Id="rId4" Type="http://schemas.openxmlformats.org/officeDocument/2006/relationships/hyperlink" Target="http://skyves.ru/element/124" TargetMode="External"/><Relationship Id="rId9" Type="http://schemas.openxmlformats.org/officeDocument/2006/relationships/hyperlink" Target="http://skyves.ru/element/123" TargetMode="External"/><Relationship Id="rId13" Type="http://schemas.openxmlformats.org/officeDocument/2006/relationships/hyperlink" Target="http://skyves.ru/element/441" TargetMode="External"/><Relationship Id="rId18" Type="http://schemas.openxmlformats.org/officeDocument/2006/relationships/hyperlink" Target="http://skyves.ru/element/442" TargetMode="External"/><Relationship Id="rId39" Type="http://schemas.openxmlformats.org/officeDocument/2006/relationships/hyperlink" Target="http://skyves.ru/element/1607" TargetMode="External"/><Relationship Id="rId109" Type="http://schemas.openxmlformats.org/officeDocument/2006/relationships/hyperlink" Target="http://skyves.ru/element/1628" TargetMode="External"/><Relationship Id="rId34" Type="http://schemas.openxmlformats.org/officeDocument/2006/relationships/hyperlink" Target="http://skyves.ru/element/1602" TargetMode="External"/><Relationship Id="rId50" Type="http://schemas.openxmlformats.org/officeDocument/2006/relationships/hyperlink" Target="http://skyves.ru/element/1636" TargetMode="External"/><Relationship Id="rId55" Type="http://schemas.openxmlformats.org/officeDocument/2006/relationships/hyperlink" Target="http://skyves.ru/element/265" TargetMode="External"/><Relationship Id="rId76" Type="http://schemas.openxmlformats.org/officeDocument/2006/relationships/hyperlink" Target="http://skyves.ru/element/236" TargetMode="External"/><Relationship Id="rId97" Type="http://schemas.openxmlformats.org/officeDocument/2006/relationships/hyperlink" Target="http://skyves.ru/element/1613" TargetMode="External"/><Relationship Id="rId104" Type="http://schemas.openxmlformats.org/officeDocument/2006/relationships/hyperlink" Target="http://skyves.ru/element/1617" TargetMode="External"/><Relationship Id="rId120" Type="http://schemas.openxmlformats.org/officeDocument/2006/relationships/hyperlink" Target="http://skyves.ru/element/1645" TargetMode="External"/><Relationship Id="rId125" Type="http://schemas.openxmlformats.org/officeDocument/2006/relationships/hyperlink" Target="http://skyves.ru/element/2328" TargetMode="External"/><Relationship Id="rId7" Type="http://schemas.openxmlformats.org/officeDocument/2006/relationships/hyperlink" Target="http://skyves.ru/element/118" TargetMode="External"/><Relationship Id="rId71" Type="http://schemas.openxmlformats.org/officeDocument/2006/relationships/hyperlink" Target="http://skyves.ru/element/259" TargetMode="External"/><Relationship Id="rId92" Type="http://schemas.openxmlformats.org/officeDocument/2006/relationships/hyperlink" Target="http://skyves.ru/element/1376" TargetMode="External"/><Relationship Id="rId2" Type="http://schemas.openxmlformats.org/officeDocument/2006/relationships/hyperlink" Target="http://skyves.ru/element/120" TargetMode="External"/><Relationship Id="rId29" Type="http://schemas.openxmlformats.org/officeDocument/2006/relationships/hyperlink" Target="http://skyves.ru/element/452" TargetMode="External"/><Relationship Id="rId24" Type="http://schemas.openxmlformats.org/officeDocument/2006/relationships/hyperlink" Target="http://skyves.ru/element/460" TargetMode="External"/><Relationship Id="rId40" Type="http://schemas.openxmlformats.org/officeDocument/2006/relationships/hyperlink" Target="http://skyves.ru/element/1608" TargetMode="External"/><Relationship Id="rId45" Type="http://schemas.openxmlformats.org/officeDocument/2006/relationships/hyperlink" Target="http://skyves.ru/element/1632" TargetMode="External"/><Relationship Id="rId66" Type="http://schemas.openxmlformats.org/officeDocument/2006/relationships/hyperlink" Target="http://skyves.ru/element/272" TargetMode="External"/><Relationship Id="rId87" Type="http://schemas.openxmlformats.org/officeDocument/2006/relationships/hyperlink" Target="http://skyves.ru/element/190" TargetMode="External"/><Relationship Id="rId110" Type="http://schemas.openxmlformats.org/officeDocument/2006/relationships/hyperlink" Target="http://skyves.ru/element/1623" TargetMode="External"/><Relationship Id="rId115" Type="http://schemas.openxmlformats.org/officeDocument/2006/relationships/hyperlink" Target="http://skyves.ru/element/445" TargetMode="External"/><Relationship Id="rId61" Type="http://schemas.openxmlformats.org/officeDocument/2006/relationships/hyperlink" Target="http://skyves.ru/element/267" TargetMode="External"/><Relationship Id="rId82" Type="http://schemas.openxmlformats.org/officeDocument/2006/relationships/hyperlink" Target="http://skyves.ru/element/185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skyves.ru/element/2222" TargetMode="External"/><Relationship Id="rId18" Type="http://schemas.openxmlformats.org/officeDocument/2006/relationships/hyperlink" Target="http://skyves.ru/element/2227" TargetMode="External"/><Relationship Id="rId26" Type="http://schemas.openxmlformats.org/officeDocument/2006/relationships/hyperlink" Target="http://skyves.ru/element/2235" TargetMode="External"/><Relationship Id="rId39" Type="http://schemas.openxmlformats.org/officeDocument/2006/relationships/hyperlink" Target="http://skyves.ru/element/2252" TargetMode="External"/><Relationship Id="rId3" Type="http://schemas.openxmlformats.org/officeDocument/2006/relationships/hyperlink" Target="http://skyves.ru/element/2215" TargetMode="External"/><Relationship Id="rId21" Type="http://schemas.openxmlformats.org/officeDocument/2006/relationships/hyperlink" Target="http://skyves.ru/element/2231" TargetMode="External"/><Relationship Id="rId34" Type="http://schemas.openxmlformats.org/officeDocument/2006/relationships/hyperlink" Target="http://skyves.ru/element/2244" TargetMode="External"/><Relationship Id="rId42" Type="http://schemas.openxmlformats.org/officeDocument/2006/relationships/hyperlink" Target="http://skyves.ru/element/2255" TargetMode="External"/><Relationship Id="rId47" Type="http://schemas.openxmlformats.org/officeDocument/2006/relationships/hyperlink" Target="http://skyves.ru/element/2260" TargetMode="External"/><Relationship Id="rId50" Type="http://schemas.openxmlformats.org/officeDocument/2006/relationships/hyperlink" Target="http://skyves.ru/element/2240" TargetMode="External"/><Relationship Id="rId7" Type="http://schemas.openxmlformats.org/officeDocument/2006/relationships/hyperlink" Target="http://skyves.ru/element/2210" TargetMode="External"/><Relationship Id="rId12" Type="http://schemas.openxmlformats.org/officeDocument/2006/relationships/hyperlink" Target="http://skyves.ru/element/2221" TargetMode="External"/><Relationship Id="rId17" Type="http://schemas.openxmlformats.org/officeDocument/2006/relationships/hyperlink" Target="http://skyves.ru/element/2226" TargetMode="External"/><Relationship Id="rId25" Type="http://schemas.openxmlformats.org/officeDocument/2006/relationships/hyperlink" Target="http://skyves.ru/element/2234" TargetMode="External"/><Relationship Id="rId33" Type="http://schemas.openxmlformats.org/officeDocument/2006/relationships/hyperlink" Target="http://skyves.ru/element/2243" TargetMode="External"/><Relationship Id="rId38" Type="http://schemas.openxmlformats.org/officeDocument/2006/relationships/hyperlink" Target="http://skyves.ru/element/2251" TargetMode="External"/><Relationship Id="rId46" Type="http://schemas.openxmlformats.org/officeDocument/2006/relationships/hyperlink" Target="http://skyves.ru/element/2259" TargetMode="External"/><Relationship Id="rId2" Type="http://schemas.openxmlformats.org/officeDocument/2006/relationships/hyperlink" Target="http://skyves.ru/element/2214" TargetMode="External"/><Relationship Id="rId16" Type="http://schemas.openxmlformats.org/officeDocument/2006/relationships/hyperlink" Target="http://skyves.ru/element/2224" TargetMode="External"/><Relationship Id="rId20" Type="http://schemas.openxmlformats.org/officeDocument/2006/relationships/hyperlink" Target="http://skyves.ru/element/2229" TargetMode="External"/><Relationship Id="rId29" Type="http://schemas.openxmlformats.org/officeDocument/2006/relationships/hyperlink" Target="http://skyves.ru/element/2238" TargetMode="External"/><Relationship Id="rId41" Type="http://schemas.openxmlformats.org/officeDocument/2006/relationships/hyperlink" Target="http://skyves.ru/element/2254" TargetMode="External"/><Relationship Id="rId1" Type="http://schemas.openxmlformats.org/officeDocument/2006/relationships/hyperlink" Target="http://skyves.ru/element/2213" TargetMode="External"/><Relationship Id="rId6" Type="http://schemas.openxmlformats.org/officeDocument/2006/relationships/hyperlink" Target="http://skyves.ru/element/2218" TargetMode="External"/><Relationship Id="rId11" Type="http://schemas.openxmlformats.org/officeDocument/2006/relationships/hyperlink" Target="http://skyves.ru/element/2220" TargetMode="External"/><Relationship Id="rId24" Type="http://schemas.openxmlformats.org/officeDocument/2006/relationships/hyperlink" Target="http://skyves.ru/element/2233" TargetMode="External"/><Relationship Id="rId32" Type="http://schemas.openxmlformats.org/officeDocument/2006/relationships/hyperlink" Target="http://skyves.ru/element/2242" TargetMode="External"/><Relationship Id="rId37" Type="http://schemas.openxmlformats.org/officeDocument/2006/relationships/hyperlink" Target="http://skyves.ru/element/2250" TargetMode="External"/><Relationship Id="rId40" Type="http://schemas.openxmlformats.org/officeDocument/2006/relationships/hyperlink" Target="http://skyves.ru/element/2253" TargetMode="External"/><Relationship Id="rId45" Type="http://schemas.openxmlformats.org/officeDocument/2006/relationships/hyperlink" Target="http://skyves.ru/element/2258" TargetMode="External"/><Relationship Id="rId5" Type="http://schemas.openxmlformats.org/officeDocument/2006/relationships/hyperlink" Target="http://skyves.ru/element/2216" TargetMode="External"/><Relationship Id="rId15" Type="http://schemas.openxmlformats.org/officeDocument/2006/relationships/hyperlink" Target="http://skyves.ru/element/2225" TargetMode="External"/><Relationship Id="rId23" Type="http://schemas.openxmlformats.org/officeDocument/2006/relationships/hyperlink" Target="http://skyves.ru/element/2232" TargetMode="External"/><Relationship Id="rId28" Type="http://schemas.openxmlformats.org/officeDocument/2006/relationships/hyperlink" Target="http://skyves.ru/element/2236" TargetMode="External"/><Relationship Id="rId36" Type="http://schemas.openxmlformats.org/officeDocument/2006/relationships/hyperlink" Target="http://skyves.ru/element/2249" TargetMode="External"/><Relationship Id="rId49" Type="http://schemas.openxmlformats.org/officeDocument/2006/relationships/hyperlink" Target="http://skyves.ru/element/2262" TargetMode="External"/><Relationship Id="rId10" Type="http://schemas.openxmlformats.org/officeDocument/2006/relationships/hyperlink" Target="http://skyves.ru/element/2219" TargetMode="External"/><Relationship Id="rId19" Type="http://schemas.openxmlformats.org/officeDocument/2006/relationships/hyperlink" Target="http://skyves.ru/element/2228" TargetMode="External"/><Relationship Id="rId31" Type="http://schemas.openxmlformats.org/officeDocument/2006/relationships/hyperlink" Target="http://skyves.ru/element/2241" TargetMode="External"/><Relationship Id="rId44" Type="http://schemas.openxmlformats.org/officeDocument/2006/relationships/hyperlink" Target="http://skyves.ru/element/2257" TargetMode="External"/><Relationship Id="rId52" Type="http://schemas.openxmlformats.org/officeDocument/2006/relationships/drawing" Target="../drawings/drawing13.xml"/><Relationship Id="rId4" Type="http://schemas.openxmlformats.org/officeDocument/2006/relationships/hyperlink" Target="http://skyves.ru/element/2217" TargetMode="External"/><Relationship Id="rId9" Type="http://schemas.openxmlformats.org/officeDocument/2006/relationships/hyperlink" Target="http://skyves.ru/element/2212" TargetMode="External"/><Relationship Id="rId14" Type="http://schemas.openxmlformats.org/officeDocument/2006/relationships/hyperlink" Target="http://skyves.ru/element/2223" TargetMode="External"/><Relationship Id="rId22" Type="http://schemas.openxmlformats.org/officeDocument/2006/relationships/hyperlink" Target="http://skyves.ru/element/2230" TargetMode="External"/><Relationship Id="rId27" Type="http://schemas.openxmlformats.org/officeDocument/2006/relationships/hyperlink" Target="http://skyves.ru/element/2237" TargetMode="External"/><Relationship Id="rId30" Type="http://schemas.openxmlformats.org/officeDocument/2006/relationships/hyperlink" Target="http://skyves.ru/element/2239" TargetMode="External"/><Relationship Id="rId35" Type="http://schemas.openxmlformats.org/officeDocument/2006/relationships/hyperlink" Target="http://skyves.ru/element/2248" TargetMode="External"/><Relationship Id="rId43" Type="http://schemas.openxmlformats.org/officeDocument/2006/relationships/hyperlink" Target="http://skyves.ru/element/2256" TargetMode="External"/><Relationship Id="rId48" Type="http://schemas.openxmlformats.org/officeDocument/2006/relationships/hyperlink" Target="http://skyves.ru/element/2261" TargetMode="External"/><Relationship Id="rId8" Type="http://schemas.openxmlformats.org/officeDocument/2006/relationships/hyperlink" Target="http://skyves.ru/element/2211" TargetMode="External"/><Relationship Id="rId5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357" TargetMode="External"/><Relationship Id="rId13" Type="http://schemas.openxmlformats.org/officeDocument/2006/relationships/hyperlink" Target="http://skyves.ru/element/362" TargetMode="External"/><Relationship Id="rId3" Type="http://schemas.openxmlformats.org/officeDocument/2006/relationships/hyperlink" Target="http://skyves.ru/element/352" TargetMode="External"/><Relationship Id="rId7" Type="http://schemas.openxmlformats.org/officeDocument/2006/relationships/hyperlink" Target="http://skyves.ru/element/356" TargetMode="External"/><Relationship Id="rId12" Type="http://schemas.openxmlformats.org/officeDocument/2006/relationships/hyperlink" Target="http://skyves.ru/element/361" TargetMode="External"/><Relationship Id="rId2" Type="http://schemas.openxmlformats.org/officeDocument/2006/relationships/hyperlink" Target="http://skyves.ru/element/30" TargetMode="External"/><Relationship Id="rId16" Type="http://schemas.openxmlformats.org/officeDocument/2006/relationships/drawing" Target="../drawings/drawing14.xml"/><Relationship Id="rId1" Type="http://schemas.openxmlformats.org/officeDocument/2006/relationships/hyperlink" Target="http://skyves.ru/element/29" TargetMode="External"/><Relationship Id="rId6" Type="http://schemas.openxmlformats.org/officeDocument/2006/relationships/hyperlink" Target="http://skyves.ru/element/355" TargetMode="External"/><Relationship Id="rId11" Type="http://schemas.openxmlformats.org/officeDocument/2006/relationships/hyperlink" Target="http://skyves.ru/element/360" TargetMode="External"/><Relationship Id="rId5" Type="http://schemas.openxmlformats.org/officeDocument/2006/relationships/hyperlink" Target="http://skyves.ru/element/354" TargetMode="External"/><Relationship Id="rId15" Type="http://schemas.openxmlformats.org/officeDocument/2006/relationships/printerSettings" Target="../printerSettings/printerSettings12.bin"/><Relationship Id="rId10" Type="http://schemas.openxmlformats.org/officeDocument/2006/relationships/hyperlink" Target="http://skyves.ru/element/359" TargetMode="External"/><Relationship Id="rId4" Type="http://schemas.openxmlformats.org/officeDocument/2006/relationships/hyperlink" Target="http://skyves.ru/element/353" TargetMode="External"/><Relationship Id="rId9" Type="http://schemas.openxmlformats.org/officeDocument/2006/relationships/hyperlink" Target="http://skyves.ru/element/358" TargetMode="External"/><Relationship Id="rId14" Type="http://schemas.openxmlformats.org/officeDocument/2006/relationships/hyperlink" Target="http://skyves.ru/element/363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291" TargetMode="External"/><Relationship Id="rId13" Type="http://schemas.openxmlformats.org/officeDocument/2006/relationships/hyperlink" Target="http://skyves.ru/element/137" TargetMode="External"/><Relationship Id="rId18" Type="http://schemas.openxmlformats.org/officeDocument/2006/relationships/hyperlink" Target="http://skyves.ru/element/1318" TargetMode="External"/><Relationship Id="rId26" Type="http://schemas.openxmlformats.org/officeDocument/2006/relationships/hyperlink" Target="http://skyves.ru/element/2150" TargetMode="External"/><Relationship Id="rId3" Type="http://schemas.openxmlformats.org/officeDocument/2006/relationships/hyperlink" Target="http://skyves.ru/element/132" TargetMode="External"/><Relationship Id="rId21" Type="http://schemas.openxmlformats.org/officeDocument/2006/relationships/hyperlink" Target="http://skyves.ru/element/1321" TargetMode="External"/><Relationship Id="rId7" Type="http://schemas.openxmlformats.org/officeDocument/2006/relationships/hyperlink" Target="http://skyves.ru/element/131" TargetMode="External"/><Relationship Id="rId12" Type="http://schemas.openxmlformats.org/officeDocument/2006/relationships/hyperlink" Target="http://skyves.ru/element/136" TargetMode="External"/><Relationship Id="rId17" Type="http://schemas.openxmlformats.org/officeDocument/2006/relationships/hyperlink" Target="http://skyves.ru/element/1322" TargetMode="External"/><Relationship Id="rId25" Type="http://schemas.openxmlformats.org/officeDocument/2006/relationships/hyperlink" Target="http://skyves.ru/element/2149" TargetMode="External"/><Relationship Id="rId2" Type="http://schemas.openxmlformats.org/officeDocument/2006/relationships/hyperlink" Target="http://skyves.ru/element/126" TargetMode="External"/><Relationship Id="rId16" Type="http://schemas.openxmlformats.org/officeDocument/2006/relationships/hyperlink" Target="http://skyves.ru/element/139" TargetMode="External"/><Relationship Id="rId20" Type="http://schemas.openxmlformats.org/officeDocument/2006/relationships/hyperlink" Target="http://skyves.ru/element/1320" TargetMode="External"/><Relationship Id="rId29" Type="http://schemas.openxmlformats.org/officeDocument/2006/relationships/drawing" Target="../drawings/drawing15.xml"/><Relationship Id="rId1" Type="http://schemas.openxmlformats.org/officeDocument/2006/relationships/hyperlink" Target="http://skyves.ru/element/129" TargetMode="External"/><Relationship Id="rId6" Type="http://schemas.openxmlformats.org/officeDocument/2006/relationships/hyperlink" Target="http://skyves.ru/element/128" TargetMode="External"/><Relationship Id="rId11" Type="http://schemas.openxmlformats.org/officeDocument/2006/relationships/hyperlink" Target="http://skyves.ru/element/135" TargetMode="External"/><Relationship Id="rId24" Type="http://schemas.openxmlformats.org/officeDocument/2006/relationships/hyperlink" Target="http://skyves.ru/element/2148" TargetMode="External"/><Relationship Id="rId5" Type="http://schemas.openxmlformats.org/officeDocument/2006/relationships/hyperlink" Target="http://skyves.ru/element/130" TargetMode="External"/><Relationship Id="rId15" Type="http://schemas.openxmlformats.org/officeDocument/2006/relationships/hyperlink" Target="http://skyves.ru/element/292" TargetMode="External"/><Relationship Id="rId23" Type="http://schemas.openxmlformats.org/officeDocument/2006/relationships/hyperlink" Target="http://skyves.ru/element/1324" TargetMode="External"/><Relationship Id="rId28" Type="http://schemas.openxmlformats.org/officeDocument/2006/relationships/printerSettings" Target="../printerSettings/printerSettings13.bin"/><Relationship Id="rId10" Type="http://schemas.openxmlformats.org/officeDocument/2006/relationships/hyperlink" Target="http://skyves.ru/element/134" TargetMode="External"/><Relationship Id="rId19" Type="http://schemas.openxmlformats.org/officeDocument/2006/relationships/hyperlink" Target="http://skyves.ru/element/1319" TargetMode="External"/><Relationship Id="rId4" Type="http://schemas.openxmlformats.org/officeDocument/2006/relationships/hyperlink" Target="http://skyves.ru/element/127" TargetMode="External"/><Relationship Id="rId9" Type="http://schemas.openxmlformats.org/officeDocument/2006/relationships/hyperlink" Target="http://skyves.ru/element/133" TargetMode="External"/><Relationship Id="rId14" Type="http://schemas.openxmlformats.org/officeDocument/2006/relationships/hyperlink" Target="http://skyves.ru/element/138" TargetMode="External"/><Relationship Id="rId22" Type="http://schemas.openxmlformats.org/officeDocument/2006/relationships/hyperlink" Target="http://skyves.ru/element/1323" TargetMode="External"/><Relationship Id="rId27" Type="http://schemas.openxmlformats.org/officeDocument/2006/relationships/hyperlink" Target="http://skyves.ru/element/2151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240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://skyves.ru/element/145" TargetMode="External"/><Relationship Id="rId7" Type="http://schemas.openxmlformats.org/officeDocument/2006/relationships/hyperlink" Target="http://skyves.ru/element/239" TargetMode="External"/><Relationship Id="rId12" Type="http://schemas.openxmlformats.org/officeDocument/2006/relationships/hyperlink" Target="http://skyves.ru/element/244" TargetMode="External"/><Relationship Id="rId2" Type="http://schemas.openxmlformats.org/officeDocument/2006/relationships/hyperlink" Target="http://skyves.ru/element/144" TargetMode="External"/><Relationship Id="rId1" Type="http://schemas.openxmlformats.org/officeDocument/2006/relationships/hyperlink" Target="http://skyves.ru/element/143" TargetMode="External"/><Relationship Id="rId6" Type="http://schemas.openxmlformats.org/officeDocument/2006/relationships/hyperlink" Target="http://skyves.ru/element/148" TargetMode="External"/><Relationship Id="rId11" Type="http://schemas.openxmlformats.org/officeDocument/2006/relationships/hyperlink" Target="http://skyves.ru/element/243" TargetMode="External"/><Relationship Id="rId5" Type="http://schemas.openxmlformats.org/officeDocument/2006/relationships/hyperlink" Target="http://skyves.ru/element/147" TargetMode="External"/><Relationship Id="rId10" Type="http://schemas.openxmlformats.org/officeDocument/2006/relationships/hyperlink" Target="http://skyves.ru/element/242" TargetMode="External"/><Relationship Id="rId4" Type="http://schemas.openxmlformats.org/officeDocument/2006/relationships/hyperlink" Target="http://skyves.ru/element/146" TargetMode="External"/><Relationship Id="rId9" Type="http://schemas.openxmlformats.org/officeDocument/2006/relationships/hyperlink" Target="http://skyves.ru/element/241" TargetMode="External"/><Relationship Id="rId14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3:E4"/>
  <sheetViews>
    <sheetView topLeftCell="A13" workbookViewId="0">
      <selection activeCell="B11" sqref="B11"/>
    </sheetView>
  </sheetViews>
  <sheetFormatPr defaultRowHeight="13.5" x14ac:dyDescent="0.25"/>
  <cols>
    <col min="1" max="1" width="33.5703125" style="1" customWidth="1"/>
    <col min="2" max="2" width="18.85546875" style="1" customWidth="1"/>
    <col min="3" max="16384" width="9.140625" style="1"/>
  </cols>
  <sheetData>
    <row r="3" spans="1:5" ht="23.25" x14ac:dyDescent="0.25">
      <c r="A3" s="16" t="s">
        <v>1078</v>
      </c>
      <c r="B3" s="17">
        <v>72.31</v>
      </c>
      <c r="C3" s="18" t="s">
        <v>1</v>
      </c>
      <c r="E3" s="19" t="s">
        <v>1113</v>
      </c>
    </row>
    <row r="4" spans="1:5" ht="23.25" x14ac:dyDescent="0.25">
      <c r="A4" s="16" t="s">
        <v>0</v>
      </c>
      <c r="B4" s="17">
        <v>64.64</v>
      </c>
      <c r="C4" s="18" t="s">
        <v>1</v>
      </c>
      <c r="E4" s="19" t="s">
        <v>1113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41"/>
  <sheetViews>
    <sheetView zoomScale="90" zoomScaleNormal="90" workbookViewId="0">
      <selection activeCell="C3" sqref="C3"/>
    </sheetView>
  </sheetViews>
  <sheetFormatPr defaultRowHeight="13.5" x14ac:dyDescent="0.25"/>
  <cols>
    <col min="1" max="1" width="23.28515625" style="1" customWidth="1"/>
    <col min="2" max="2" width="15.7109375" style="1" customWidth="1"/>
    <col min="3" max="3" width="20.7109375" style="1" customWidth="1"/>
    <col min="4" max="4" width="18.570312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1687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57"/>
      <c r="B2" s="39" t="s">
        <v>2</v>
      </c>
      <c r="C2" s="4" t="s">
        <v>48</v>
      </c>
      <c r="D2" s="4" t="s">
        <v>49</v>
      </c>
      <c r="E2" s="39" t="s">
        <v>9</v>
      </c>
      <c r="F2" s="39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s="94" customFormat="1" ht="39.950000000000003" customHeight="1" x14ac:dyDescent="0.25">
      <c r="A3" s="119"/>
      <c r="B3" s="32" t="s">
        <v>1476</v>
      </c>
      <c r="C3" s="90" t="s">
        <v>1479</v>
      </c>
      <c r="D3" s="90" t="s">
        <v>397</v>
      </c>
      <c r="E3" s="90" t="s">
        <v>14</v>
      </c>
      <c r="F3" s="90" t="s">
        <v>15</v>
      </c>
      <c r="G3" s="90" t="s">
        <v>78</v>
      </c>
      <c r="H3" s="91">
        <f>CEILING(2220*EUR,10)</f>
        <v>160530</v>
      </c>
      <c r="I3" s="92">
        <v>0.25</v>
      </c>
      <c r="J3" s="91">
        <f>CEILING(H3*0.75,10)</f>
        <v>120400</v>
      </c>
    </row>
    <row r="4" spans="1:10" s="94" customFormat="1" ht="39.950000000000003" customHeight="1" x14ac:dyDescent="0.25">
      <c r="A4" s="119"/>
      <c r="B4" s="32" t="s">
        <v>1477</v>
      </c>
      <c r="C4" s="90" t="s">
        <v>681</v>
      </c>
      <c r="D4" s="95" t="s">
        <v>77</v>
      </c>
      <c r="E4" s="90" t="s">
        <v>14</v>
      </c>
      <c r="F4" s="90" t="s">
        <v>15</v>
      </c>
      <c r="G4" s="90" t="s">
        <v>78</v>
      </c>
      <c r="H4" s="91">
        <f>CEILING(2300*EUR,10)</f>
        <v>166320</v>
      </c>
      <c r="I4" s="92">
        <v>0.25</v>
      </c>
      <c r="J4" s="91">
        <f>CEILING(H4*0.75,10)</f>
        <v>124740</v>
      </c>
    </row>
    <row r="5" spans="1:10" s="94" customFormat="1" ht="39.950000000000003" customHeight="1" x14ac:dyDescent="0.25">
      <c r="A5" s="119"/>
      <c r="B5" s="32" t="s">
        <v>1478</v>
      </c>
      <c r="C5" s="90" t="s">
        <v>682</v>
      </c>
      <c r="D5" s="95" t="s">
        <v>77</v>
      </c>
      <c r="E5" s="90" t="s">
        <v>14</v>
      </c>
      <c r="F5" s="90" t="s">
        <v>15</v>
      </c>
      <c r="G5" s="90" t="s">
        <v>78</v>
      </c>
      <c r="H5" s="91">
        <f>CEILING(2600*EUR,10)</f>
        <v>188010</v>
      </c>
      <c r="I5" s="92">
        <v>0.25</v>
      </c>
      <c r="J5" s="91">
        <f>CEILING(H5*0.75,10)</f>
        <v>141010</v>
      </c>
    </row>
    <row r="6" spans="1:10" s="94" customFormat="1" ht="20.100000000000001" customHeight="1" x14ac:dyDescent="0.25">
      <c r="A6" s="120" t="s">
        <v>74</v>
      </c>
      <c r="B6" s="120"/>
      <c r="C6" s="120"/>
      <c r="D6" s="120"/>
      <c r="E6" s="120"/>
      <c r="F6" s="120"/>
      <c r="G6" s="120"/>
      <c r="H6" s="120"/>
      <c r="I6" s="120"/>
      <c r="J6" s="120"/>
    </row>
    <row r="7" spans="1:10" s="94" customFormat="1" ht="20.100000000000001" customHeight="1" x14ac:dyDescent="0.25">
      <c r="A7" s="121" t="s">
        <v>1606</v>
      </c>
      <c r="B7" s="122"/>
      <c r="C7" s="122"/>
      <c r="D7" s="122"/>
      <c r="E7" s="122"/>
      <c r="F7" s="122"/>
      <c r="G7" s="123"/>
      <c r="H7" s="91">
        <f>CEILING(610*EUR,10)</f>
        <v>44110</v>
      </c>
      <c r="I7" s="92">
        <v>0.1</v>
      </c>
      <c r="J7" s="91">
        <f>CEILING(H7*0.9,10)</f>
        <v>39700</v>
      </c>
    </row>
    <row r="8" spans="1:10" s="94" customFormat="1" ht="20.100000000000001" customHeight="1" x14ac:dyDescent="0.25">
      <c r="A8" s="121" t="s">
        <v>1607</v>
      </c>
      <c r="B8" s="122"/>
      <c r="C8" s="122"/>
      <c r="D8" s="122"/>
      <c r="E8" s="122"/>
      <c r="F8" s="122"/>
      <c r="G8" s="123"/>
      <c r="H8" s="91">
        <f>CEILING(715*EUR,10)</f>
        <v>51710</v>
      </c>
      <c r="I8" s="92">
        <v>0.1</v>
      </c>
      <c r="J8" s="91">
        <f>CEILING(H8*0.9,10)</f>
        <v>46540</v>
      </c>
    </row>
    <row r="9" spans="1:10" ht="20.100000000000001" customHeight="1" x14ac:dyDescent="0.25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 ht="39.950000000000003" customHeight="1" x14ac:dyDescent="0.25">
      <c r="A10" s="117" t="s">
        <v>1688</v>
      </c>
      <c r="B10" s="118"/>
      <c r="C10" s="118"/>
      <c r="D10" s="118"/>
      <c r="E10" s="118"/>
      <c r="F10" s="118"/>
      <c r="G10" s="118"/>
      <c r="H10" s="118"/>
      <c r="I10" s="118"/>
      <c r="J10" s="118"/>
    </row>
    <row r="11" spans="1:10" ht="30" x14ac:dyDescent="0.25">
      <c r="A11" s="57"/>
      <c r="B11" s="39" t="s">
        <v>2</v>
      </c>
      <c r="C11" s="4" t="s">
        <v>48</v>
      </c>
      <c r="D11" s="4" t="s">
        <v>49</v>
      </c>
      <c r="E11" s="39" t="s">
        <v>9</v>
      </c>
      <c r="F11" s="39" t="s">
        <v>10</v>
      </c>
      <c r="G11" s="4" t="s">
        <v>11</v>
      </c>
      <c r="H11" s="4" t="s">
        <v>17</v>
      </c>
      <c r="I11" s="4" t="s">
        <v>12</v>
      </c>
      <c r="J11" s="4" t="s">
        <v>18</v>
      </c>
    </row>
    <row r="12" spans="1:10" s="94" customFormat="1" ht="30" customHeight="1" x14ac:dyDescent="0.25">
      <c r="A12" s="119"/>
      <c r="B12" s="32" t="s">
        <v>1480</v>
      </c>
      <c r="C12" s="90" t="s">
        <v>51</v>
      </c>
      <c r="D12" s="90" t="s">
        <v>53</v>
      </c>
      <c r="E12" s="90" t="s">
        <v>14</v>
      </c>
      <c r="F12" s="90" t="s">
        <v>13</v>
      </c>
      <c r="G12" s="90" t="s">
        <v>1322</v>
      </c>
      <c r="H12" s="91">
        <f>CEILING(1200*EUR,10)</f>
        <v>86780</v>
      </c>
      <c r="I12" s="92">
        <v>0.25</v>
      </c>
      <c r="J12" s="91">
        <f t="shared" ref="J12:J17" si="0">CEILING(H12*0.75,10)</f>
        <v>65090</v>
      </c>
    </row>
    <row r="13" spans="1:10" s="94" customFormat="1" ht="30" customHeight="1" x14ac:dyDescent="0.25">
      <c r="A13" s="119"/>
      <c r="B13" s="32" t="s">
        <v>1481</v>
      </c>
      <c r="C13" s="90" t="s">
        <v>51</v>
      </c>
      <c r="D13" s="90" t="s">
        <v>53</v>
      </c>
      <c r="E13" s="90" t="s">
        <v>14</v>
      </c>
      <c r="F13" s="90" t="s">
        <v>15</v>
      </c>
      <c r="G13" s="90" t="s">
        <v>1322</v>
      </c>
      <c r="H13" s="91">
        <f>CEILING(1320*EUR,10)</f>
        <v>95450</v>
      </c>
      <c r="I13" s="92">
        <v>0.25</v>
      </c>
      <c r="J13" s="91">
        <f t="shared" si="0"/>
        <v>71590</v>
      </c>
    </row>
    <row r="14" spans="1:10" s="94" customFormat="1" ht="30" customHeight="1" x14ac:dyDescent="0.25">
      <c r="A14" s="119"/>
      <c r="B14" s="32" t="s">
        <v>1482</v>
      </c>
      <c r="C14" s="90" t="s">
        <v>52</v>
      </c>
      <c r="D14" s="90" t="s">
        <v>53</v>
      </c>
      <c r="E14" s="90" t="s">
        <v>14</v>
      </c>
      <c r="F14" s="90" t="s">
        <v>13</v>
      </c>
      <c r="G14" s="90" t="s">
        <v>1322</v>
      </c>
      <c r="H14" s="91">
        <f>CEILING(1360*EUR,10)</f>
        <v>98350</v>
      </c>
      <c r="I14" s="92">
        <v>0.25</v>
      </c>
      <c r="J14" s="91">
        <f t="shared" si="0"/>
        <v>73770</v>
      </c>
    </row>
    <row r="15" spans="1:10" s="94" customFormat="1" ht="30" customHeight="1" x14ac:dyDescent="0.25">
      <c r="A15" s="119"/>
      <c r="B15" s="32" t="s">
        <v>1483</v>
      </c>
      <c r="C15" s="90" t="s">
        <v>52</v>
      </c>
      <c r="D15" s="90" t="s">
        <v>53</v>
      </c>
      <c r="E15" s="90" t="s">
        <v>14</v>
      </c>
      <c r="F15" s="90" t="s">
        <v>15</v>
      </c>
      <c r="G15" s="90" t="s">
        <v>1322</v>
      </c>
      <c r="H15" s="91">
        <f>CEILING(1500*EUR,10)</f>
        <v>108470</v>
      </c>
      <c r="I15" s="92">
        <v>0.25</v>
      </c>
      <c r="J15" s="91">
        <f t="shared" si="0"/>
        <v>81360</v>
      </c>
    </row>
    <row r="16" spans="1:10" s="94" customFormat="1" ht="30" customHeight="1" x14ac:dyDescent="0.25">
      <c r="A16" s="119"/>
      <c r="B16" s="32" t="s">
        <v>1484</v>
      </c>
      <c r="C16" s="90" t="s">
        <v>291</v>
      </c>
      <c r="D16" s="90" t="s">
        <v>53</v>
      </c>
      <c r="E16" s="90" t="s">
        <v>14</v>
      </c>
      <c r="F16" s="90" t="s">
        <v>15</v>
      </c>
      <c r="G16" s="90" t="s">
        <v>1322</v>
      </c>
      <c r="H16" s="91">
        <f>CEILING(1990*EUR,10)</f>
        <v>143900</v>
      </c>
      <c r="I16" s="92">
        <v>0.25</v>
      </c>
      <c r="J16" s="91">
        <f t="shared" si="0"/>
        <v>107930</v>
      </c>
    </row>
    <row r="17" spans="1:10" s="94" customFormat="1" ht="30" customHeight="1" x14ac:dyDescent="0.25">
      <c r="A17" s="119"/>
      <c r="B17" s="32" t="s">
        <v>1485</v>
      </c>
      <c r="C17" s="90" t="s">
        <v>60</v>
      </c>
      <c r="D17" s="90" t="s">
        <v>53</v>
      </c>
      <c r="E17" s="90" t="s">
        <v>14</v>
      </c>
      <c r="F17" s="90" t="s">
        <v>15</v>
      </c>
      <c r="G17" s="90" t="s">
        <v>1322</v>
      </c>
      <c r="H17" s="91">
        <f>CEILING(3000*EUR,10)</f>
        <v>216930</v>
      </c>
      <c r="I17" s="92">
        <v>0.25</v>
      </c>
      <c r="J17" s="91">
        <f t="shared" si="0"/>
        <v>162700</v>
      </c>
    </row>
    <row r="18" spans="1:10" s="94" customFormat="1" ht="20.100000000000001" customHeight="1" x14ac:dyDescent="0.25">
      <c r="A18" s="120" t="s">
        <v>74</v>
      </c>
      <c r="B18" s="120"/>
      <c r="C18" s="120"/>
      <c r="D18" s="120"/>
      <c r="E18" s="120"/>
      <c r="F18" s="120"/>
      <c r="G18" s="120"/>
      <c r="H18" s="120"/>
      <c r="I18" s="120"/>
      <c r="J18" s="120"/>
    </row>
    <row r="19" spans="1:10" s="94" customFormat="1" ht="20.100000000000001" customHeight="1" x14ac:dyDescent="0.25">
      <c r="A19" s="121" t="s">
        <v>1606</v>
      </c>
      <c r="B19" s="122"/>
      <c r="C19" s="122"/>
      <c r="D19" s="122"/>
      <c r="E19" s="122"/>
      <c r="F19" s="122"/>
      <c r="G19" s="123"/>
      <c r="H19" s="91">
        <f>CEILING(610*EUR,10)</f>
        <v>44110</v>
      </c>
      <c r="I19" s="92">
        <v>0.1</v>
      </c>
      <c r="J19" s="91">
        <f>CEILING(H19*0.9,10)</f>
        <v>39700</v>
      </c>
    </row>
    <row r="20" spans="1:10" s="94" customFormat="1" ht="20.100000000000001" customHeight="1" x14ac:dyDescent="0.25">
      <c r="A20" s="121" t="s">
        <v>1607</v>
      </c>
      <c r="B20" s="122"/>
      <c r="C20" s="122"/>
      <c r="D20" s="122"/>
      <c r="E20" s="122"/>
      <c r="F20" s="122"/>
      <c r="G20" s="123"/>
      <c r="H20" s="91">
        <f>CEILING(715*EUR,10)</f>
        <v>51710</v>
      </c>
      <c r="I20" s="92">
        <v>0.1</v>
      </c>
      <c r="J20" s="91">
        <f>CEILING(H20*0.9,10)</f>
        <v>46540</v>
      </c>
    </row>
    <row r="21" spans="1:10" ht="20.100000000000001" customHeight="1" x14ac:dyDescent="0.25">
      <c r="A21" s="124"/>
      <c r="B21" s="124"/>
      <c r="C21" s="124"/>
      <c r="D21" s="124"/>
      <c r="E21" s="124"/>
      <c r="F21" s="124"/>
      <c r="G21" s="124"/>
      <c r="H21" s="124"/>
      <c r="I21" s="124"/>
      <c r="J21" s="124"/>
    </row>
    <row r="22" spans="1:10" ht="39.950000000000003" customHeight="1" x14ac:dyDescent="0.25">
      <c r="A22" s="117" t="s">
        <v>1689</v>
      </c>
      <c r="B22" s="118"/>
      <c r="C22" s="118"/>
      <c r="D22" s="118"/>
      <c r="E22" s="118"/>
      <c r="F22" s="118"/>
      <c r="G22" s="118"/>
      <c r="H22" s="118"/>
      <c r="I22" s="118"/>
      <c r="J22" s="118"/>
    </row>
    <row r="23" spans="1:10" ht="30" x14ac:dyDescent="0.25">
      <c r="A23" s="57"/>
      <c r="B23" s="39" t="s">
        <v>2</v>
      </c>
      <c r="C23" s="4" t="s">
        <v>48</v>
      </c>
      <c r="D23" s="4" t="s">
        <v>49</v>
      </c>
      <c r="E23" s="39" t="s">
        <v>9</v>
      </c>
      <c r="F23" s="39" t="s">
        <v>10</v>
      </c>
      <c r="G23" s="4" t="s">
        <v>11</v>
      </c>
      <c r="H23" s="4" t="s">
        <v>17</v>
      </c>
      <c r="I23" s="4" t="s">
        <v>12</v>
      </c>
      <c r="J23" s="4" t="s">
        <v>18</v>
      </c>
    </row>
    <row r="24" spans="1:10" s="94" customFormat="1" ht="30" customHeight="1" x14ac:dyDescent="0.25">
      <c r="A24" s="126"/>
      <c r="B24" s="32" t="s">
        <v>1486</v>
      </c>
      <c r="C24" s="96" t="s">
        <v>52</v>
      </c>
      <c r="D24" s="90" t="s">
        <v>54</v>
      </c>
      <c r="E24" s="90" t="s">
        <v>31</v>
      </c>
      <c r="F24" s="90" t="s">
        <v>15</v>
      </c>
      <c r="G24" s="90" t="s">
        <v>1494</v>
      </c>
      <c r="H24" s="91">
        <f>CEILING(980*EUR,10)</f>
        <v>70870</v>
      </c>
      <c r="I24" s="92">
        <v>0.25</v>
      </c>
      <c r="J24" s="91">
        <f>CEILING(H24*0.75,10)</f>
        <v>53160</v>
      </c>
    </row>
    <row r="25" spans="1:10" s="94" customFormat="1" ht="30" customHeight="1" x14ac:dyDescent="0.25">
      <c r="A25" s="127"/>
      <c r="B25" s="32" t="s">
        <v>1487</v>
      </c>
      <c r="C25" s="96" t="s">
        <v>1493</v>
      </c>
      <c r="D25" s="90" t="s">
        <v>54</v>
      </c>
      <c r="E25" s="90" t="s">
        <v>31</v>
      </c>
      <c r="F25" s="90" t="s">
        <v>15</v>
      </c>
      <c r="G25" s="90" t="s">
        <v>1494</v>
      </c>
      <c r="H25" s="91">
        <f>CEILING(1040*EUR,10)</f>
        <v>75210</v>
      </c>
      <c r="I25" s="92">
        <v>0.25</v>
      </c>
      <c r="J25" s="91">
        <f t="shared" ref="J25:J36" si="1">CEILING(H25*0.75,10)</f>
        <v>56410</v>
      </c>
    </row>
    <row r="26" spans="1:10" s="94" customFormat="1" ht="30" customHeight="1" x14ac:dyDescent="0.25">
      <c r="A26" s="127"/>
      <c r="B26" s="32" t="s">
        <v>1488</v>
      </c>
      <c r="C26" s="96" t="s">
        <v>405</v>
      </c>
      <c r="D26" s="90" t="s">
        <v>54</v>
      </c>
      <c r="E26" s="90" t="s">
        <v>31</v>
      </c>
      <c r="F26" s="90" t="s">
        <v>15</v>
      </c>
      <c r="G26" s="90" t="s">
        <v>1494</v>
      </c>
      <c r="H26" s="91">
        <f>CEILING(1135*EUR,10)</f>
        <v>82080</v>
      </c>
      <c r="I26" s="92">
        <v>0.25</v>
      </c>
      <c r="J26" s="91">
        <f t="shared" si="1"/>
        <v>61560</v>
      </c>
    </row>
    <row r="27" spans="1:10" s="94" customFormat="1" ht="30" customHeight="1" x14ac:dyDescent="0.25">
      <c r="A27" s="127"/>
      <c r="B27" s="32" t="s">
        <v>1489</v>
      </c>
      <c r="C27" s="96" t="s">
        <v>61</v>
      </c>
      <c r="D27" s="90" t="s">
        <v>54</v>
      </c>
      <c r="E27" s="90" t="s">
        <v>31</v>
      </c>
      <c r="F27" s="90" t="s">
        <v>15</v>
      </c>
      <c r="G27" s="90" t="s">
        <v>1494</v>
      </c>
      <c r="H27" s="91">
        <f>CEILING(1345*EUR,10)</f>
        <v>97260</v>
      </c>
      <c r="I27" s="92">
        <v>0.25</v>
      </c>
      <c r="J27" s="91">
        <f t="shared" si="1"/>
        <v>72950</v>
      </c>
    </row>
    <row r="28" spans="1:10" s="94" customFormat="1" ht="30" customHeight="1" x14ac:dyDescent="0.25">
      <c r="A28" s="127"/>
      <c r="B28" s="32" t="s">
        <v>1490</v>
      </c>
      <c r="C28" s="96" t="s">
        <v>62</v>
      </c>
      <c r="D28" s="90" t="s">
        <v>54</v>
      </c>
      <c r="E28" s="90" t="s">
        <v>14</v>
      </c>
      <c r="F28" s="90" t="s">
        <v>15</v>
      </c>
      <c r="G28" s="90" t="s">
        <v>1494</v>
      </c>
      <c r="H28" s="91">
        <f>CEILING(1635*EUR,10)</f>
        <v>118230</v>
      </c>
      <c r="I28" s="92">
        <v>0.25</v>
      </c>
      <c r="J28" s="91">
        <f t="shared" si="1"/>
        <v>88680</v>
      </c>
    </row>
    <row r="29" spans="1:10" s="94" customFormat="1" ht="30" customHeight="1" x14ac:dyDescent="0.25">
      <c r="A29" s="127"/>
      <c r="B29" s="32" t="s">
        <v>1491</v>
      </c>
      <c r="C29" s="96" t="s">
        <v>63</v>
      </c>
      <c r="D29" s="90" t="s">
        <v>54</v>
      </c>
      <c r="E29" s="90" t="s">
        <v>14</v>
      </c>
      <c r="F29" s="90" t="s">
        <v>15</v>
      </c>
      <c r="G29" s="90" t="s">
        <v>1494</v>
      </c>
      <c r="H29" s="91">
        <f>CEILING(1790*EUR,10)</f>
        <v>129440</v>
      </c>
      <c r="I29" s="92">
        <v>0.25</v>
      </c>
      <c r="J29" s="91">
        <f t="shared" si="1"/>
        <v>97080</v>
      </c>
    </row>
    <row r="30" spans="1:10" s="94" customFormat="1" ht="30" customHeight="1" x14ac:dyDescent="0.25">
      <c r="A30" s="127"/>
      <c r="B30" s="32" t="s">
        <v>1492</v>
      </c>
      <c r="C30" s="96" t="s">
        <v>217</v>
      </c>
      <c r="D30" s="90" t="s">
        <v>54</v>
      </c>
      <c r="E30" s="90" t="s">
        <v>14</v>
      </c>
      <c r="F30" s="90" t="s">
        <v>15</v>
      </c>
      <c r="G30" s="90" t="s">
        <v>1494</v>
      </c>
      <c r="H30" s="91">
        <f>CEILING(2490*EUR,10)</f>
        <v>180060</v>
      </c>
      <c r="I30" s="92">
        <v>0.25</v>
      </c>
      <c r="J30" s="91">
        <f t="shared" si="1"/>
        <v>135050</v>
      </c>
    </row>
    <row r="31" spans="1:10" s="94" customFormat="1" ht="30" customHeight="1" x14ac:dyDescent="0.25">
      <c r="A31" s="119"/>
      <c r="B31" s="32" t="s">
        <v>1495</v>
      </c>
      <c r="C31" s="96" t="s">
        <v>64</v>
      </c>
      <c r="D31" s="90" t="s">
        <v>55</v>
      </c>
      <c r="E31" s="90" t="s">
        <v>31</v>
      </c>
      <c r="F31" s="90" t="s">
        <v>15</v>
      </c>
      <c r="G31" s="90" t="s">
        <v>1333</v>
      </c>
      <c r="H31" s="91">
        <f>CEILING(995*EUR,10)</f>
        <v>71950</v>
      </c>
      <c r="I31" s="92">
        <v>0.25</v>
      </c>
      <c r="J31" s="91">
        <f t="shared" si="1"/>
        <v>53970</v>
      </c>
    </row>
    <row r="32" spans="1:10" s="94" customFormat="1" ht="30" customHeight="1" x14ac:dyDescent="0.25">
      <c r="A32" s="119"/>
      <c r="B32" s="32" t="s">
        <v>1496</v>
      </c>
      <c r="C32" s="96" t="s">
        <v>65</v>
      </c>
      <c r="D32" s="90" t="s">
        <v>55</v>
      </c>
      <c r="E32" s="90" t="s">
        <v>31</v>
      </c>
      <c r="F32" s="90" t="s">
        <v>15</v>
      </c>
      <c r="G32" s="90" t="s">
        <v>1333</v>
      </c>
      <c r="H32" s="91">
        <f>CEILING(1055*EUR,10)</f>
        <v>76290</v>
      </c>
      <c r="I32" s="92">
        <v>0.25</v>
      </c>
      <c r="J32" s="91">
        <f t="shared" si="1"/>
        <v>57220</v>
      </c>
    </row>
    <row r="33" spans="1:10" s="94" customFormat="1" ht="30" customHeight="1" x14ac:dyDescent="0.25">
      <c r="A33" s="119"/>
      <c r="B33" s="32" t="s">
        <v>1497</v>
      </c>
      <c r="C33" s="96" t="s">
        <v>106</v>
      </c>
      <c r="D33" s="90" t="s">
        <v>55</v>
      </c>
      <c r="E33" s="90" t="s">
        <v>31</v>
      </c>
      <c r="F33" s="90" t="s">
        <v>15</v>
      </c>
      <c r="G33" s="90" t="s">
        <v>1333</v>
      </c>
      <c r="H33" s="91">
        <f>CEILING(1255*EUR,10)</f>
        <v>90750</v>
      </c>
      <c r="I33" s="92">
        <v>0.25</v>
      </c>
      <c r="J33" s="91">
        <f t="shared" si="1"/>
        <v>68070</v>
      </c>
    </row>
    <row r="34" spans="1:10" s="94" customFormat="1" ht="30" customHeight="1" x14ac:dyDescent="0.25">
      <c r="A34" s="119"/>
      <c r="B34" s="32" t="s">
        <v>1498</v>
      </c>
      <c r="C34" s="96" t="s">
        <v>437</v>
      </c>
      <c r="D34" s="90" t="s">
        <v>55</v>
      </c>
      <c r="E34" s="90" t="s">
        <v>31</v>
      </c>
      <c r="F34" s="90" t="s">
        <v>15</v>
      </c>
      <c r="G34" s="90" t="s">
        <v>1333</v>
      </c>
      <c r="H34" s="91">
        <f>CEILING(1540*EUR,10)</f>
        <v>111360</v>
      </c>
      <c r="I34" s="92">
        <v>0.25</v>
      </c>
      <c r="J34" s="91">
        <f t="shared" si="1"/>
        <v>83520</v>
      </c>
    </row>
    <row r="35" spans="1:10" s="94" customFormat="1" ht="30" customHeight="1" x14ac:dyDescent="0.25">
      <c r="A35" s="119"/>
      <c r="B35" s="32" t="s">
        <v>1499</v>
      </c>
      <c r="C35" s="96" t="s">
        <v>107</v>
      </c>
      <c r="D35" s="90" t="s">
        <v>55</v>
      </c>
      <c r="E35" s="90" t="s">
        <v>31</v>
      </c>
      <c r="F35" s="90" t="s">
        <v>15</v>
      </c>
      <c r="G35" s="90" t="s">
        <v>1333</v>
      </c>
      <c r="H35" s="91">
        <f>CEILING(1800*EUR,10)</f>
        <v>130160</v>
      </c>
      <c r="I35" s="92">
        <v>0.25</v>
      </c>
      <c r="J35" s="91">
        <f t="shared" si="1"/>
        <v>97620</v>
      </c>
    </row>
    <row r="36" spans="1:10" s="94" customFormat="1" ht="30" customHeight="1" x14ac:dyDescent="0.25">
      <c r="A36" s="119"/>
      <c r="B36" s="32" t="s">
        <v>1500</v>
      </c>
      <c r="C36" s="96" t="s">
        <v>108</v>
      </c>
      <c r="D36" s="90" t="s">
        <v>55</v>
      </c>
      <c r="E36" s="90" t="s">
        <v>14</v>
      </c>
      <c r="F36" s="90" t="s">
        <v>13</v>
      </c>
      <c r="G36" s="90" t="s">
        <v>1333</v>
      </c>
      <c r="H36" s="91">
        <f>CEILING(1980*EUR,10)</f>
        <v>143180</v>
      </c>
      <c r="I36" s="92">
        <v>0.25</v>
      </c>
      <c r="J36" s="91">
        <f t="shared" si="1"/>
        <v>107390</v>
      </c>
    </row>
    <row r="37" spans="1:10" s="94" customFormat="1" ht="20.100000000000001" customHeight="1" x14ac:dyDescent="0.25">
      <c r="A37" s="120" t="s">
        <v>74</v>
      </c>
      <c r="B37" s="120"/>
      <c r="C37" s="120"/>
      <c r="D37" s="120"/>
      <c r="E37" s="120"/>
      <c r="F37" s="120"/>
      <c r="G37" s="120"/>
      <c r="H37" s="120"/>
      <c r="I37" s="120"/>
      <c r="J37" s="120"/>
    </row>
    <row r="38" spans="1:10" s="94" customFormat="1" ht="20.100000000000001" customHeight="1" x14ac:dyDescent="0.25">
      <c r="A38" s="121" t="s">
        <v>1608</v>
      </c>
      <c r="B38" s="122"/>
      <c r="C38" s="122"/>
      <c r="D38" s="122"/>
      <c r="E38" s="122"/>
      <c r="F38" s="122"/>
      <c r="G38" s="123"/>
      <c r="H38" s="91">
        <f>CEILING(610*EUR,10)</f>
        <v>44110</v>
      </c>
      <c r="I38" s="92">
        <v>0.1</v>
      </c>
      <c r="J38" s="91">
        <f>CEILING(H38*0.9,10)</f>
        <v>39700</v>
      </c>
    </row>
    <row r="39" spans="1:10" s="94" customFormat="1" ht="20.100000000000001" customHeight="1" x14ac:dyDescent="0.25">
      <c r="A39" s="121" t="s">
        <v>1607</v>
      </c>
      <c r="B39" s="122"/>
      <c r="C39" s="122"/>
      <c r="D39" s="122"/>
      <c r="E39" s="122"/>
      <c r="F39" s="122"/>
      <c r="G39" s="123"/>
      <c r="H39" s="91">
        <f>CEILING(715*EUR,10)</f>
        <v>51710</v>
      </c>
      <c r="I39" s="92">
        <v>0.1</v>
      </c>
      <c r="J39" s="91">
        <f>CEILING(H39*0.9,10)</f>
        <v>46540</v>
      </c>
    </row>
    <row r="40" spans="1:10" s="94" customFormat="1" ht="20.100000000000001" customHeight="1" x14ac:dyDescent="0.25">
      <c r="A40" s="125"/>
      <c r="B40" s="125"/>
      <c r="C40" s="125"/>
      <c r="D40" s="125"/>
      <c r="E40" s="125"/>
      <c r="F40" s="125"/>
      <c r="G40" s="125"/>
      <c r="H40" s="125"/>
      <c r="I40" s="125"/>
      <c r="J40" s="125"/>
    </row>
    <row r="41" spans="1:10" s="94" customFormat="1" x14ac:dyDescent="0.25"/>
  </sheetData>
  <mergeCells count="19">
    <mergeCell ref="A18:J18"/>
    <mergeCell ref="A9:J9"/>
    <mergeCell ref="A21:J21"/>
    <mergeCell ref="A40:J40"/>
    <mergeCell ref="A24:A30"/>
    <mergeCell ref="A31:A36"/>
    <mergeCell ref="A37:J37"/>
    <mergeCell ref="A22:J22"/>
    <mergeCell ref="A38:G38"/>
    <mergeCell ref="A39:G39"/>
    <mergeCell ref="A19:G19"/>
    <mergeCell ref="A20:G20"/>
    <mergeCell ref="A1:J1"/>
    <mergeCell ref="A3:A5"/>
    <mergeCell ref="A6:J6"/>
    <mergeCell ref="A10:J10"/>
    <mergeCell ref="A12:A17"/>
    <mergeCell ref="A7:G7"/>
    <mergeCell ref="A8:G8"/>
  </mergeCells>
  <hyperlinks>
    <hyperlink ref="B3" r:id="rId1"/>
    <hyperlink ref="B4" r:id="rId2"/>
    <hyperlink ref="B5" r:id="rId3"/>
    <hyperlink ref="B12" r:id="rId4"/>
    <hyperlink ref="B14" r:id="rId5"/>
    <hyperlink ref="B13" r:id="rId6"/>
    <hyperlink ref="B15" r:id="rId7"/>
    <hyperlink ref="B16" r:id="rId8"/>
    <hyperlink ref="B17" r:id="rId9"/>
    <hyperlink ref="B24" r:id="rId10"/>
    <hyperlink ref="B25" r:id="rId11"/>
    <hyperlink ref="B26" r:id="rId12"/>
    <hyperlink ref="B27" r:id="rId13"/>
    <hyperlink ref="B28" r:id="rId14"/>
    <hyperlink ref="B29" r:id="rId15"/>
    <hyperlink ref="B31" r:id="rId16"/>
    <hyperlink ref="B32" r:id="rId17"/>
    <hyperlink ref="B33" r:id="rId18"/>
    <hyperlink ref="B34" r:id="rId19"/>
    <hyperlink ref="B36" r:id="rId20"/>
    <hyperlink ref="B35" r:id="rId21"/>
    <hyperlink ref="B30" r:id="rId22"/>
  </hyperlinks>
  <pageMargins left="0.7" right="0.7" top="0.75" bottom="0.75" header="0.3" footer="0.3"/>
  <pageSetup paperSize="9" orientation="portrait" r:id="rId23"/>
  <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4" zoomScale="90" zoomScaleNormal="90" workbookViewId="0">
      <selection activeCell="C3" sqref="C3"/>
    </sheetView>
  </sheetViews>
  <sheetFormatPr defaultRowHeight="13.5" x14ac:dyDescent="0.25"/>
  <cols>
    <col min="1" max="1" width="23.28515625" style="1" customWidth="1"/>
    <col min="2" max="2" width="15.7109375" style="1" customWidth="1"/>
    <col min="3" max="3" width="20.7109375" style="1" customWidth="1"/>
    <col min="4" max="4" width="18.570312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1690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x14ac:dyDescent="0.25">
      <c r="A2" s="46"/>
      <c r="B2" s="39" t="s">
        <v>2</v>
      </c>
      <c r="C2" s="4" t="s">
        <v>48</v>
      </c>
      <c r="D2" s="4" t="s">
        <v>49</v>
      </c>
      <c r="E2" s="39" t="s">
        <v>9</v>
      </c>
      <c r="F2" s="39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s="94" customFormat="1" ht="30" customHeight="1" x14ac:dyDescent="0.25">
      <c r="A3" s="126"/>
      <c r="B3" s="32" t="s">
        <v>1316</v>
      </c>
      <c r="C3" s="96" t="s">
        <v>50</v>
      </c>
      <c r="D3" s="90" t="s">
        <v>54</v>
      </c>
      <c r="E3" s="90" t="s">
        <v>31</v>
      </c>
      <c r="F3" s="90" t="s">
        <v>13</v>
      </c>
      <c r="G3" s="90" t="s">
        <v>1322</v>
      </c>
      <c r="H3" s="91">
        <v>21840</v>
      </c>
      <c r="I3" s="92">
        <v>0.25</v>
      </c>
      <c r="J3" s="91">
        <f>CEILING(H3*0.75,10)</f>
        <v>16380</v>
      </c>
    </row>
    <row r="4" spans="1:10" s="94" customFormat="1" ht="30" customHeight="1" x14ac:dyDescent="0.25">
      <c r="A4" s="127"/>
      <c r="B4" s="32" t="s">
        <v>1317</v>
      </c>
      <c r="C4" s="96" t="s">
        <v>51</v>
      </c>
      <c r="D4" s="90" t="s">
        <v>54</v>
      </c>
      <c r="E4" s="90" t="s">
        <v>31</v>
      </c>
      <c r="F4" s="90" t="s">
        <v>13</v>
      </c>
      <c r="G4" s="90" t="s">
        <v>1322</v>
      </c>
      <c r="H4" s="91">
        <v>24180</v>
      </c>
      <c r="I4" s="92">
        <v>0.25</v>
      </c>
      <c r="J4" s="91">
        <f t="shared" ref="J4:J21" si="0">CEILING(H4*0.75,10)</f>
        <v>18140</v>
      </c>
    </row>
    <row r="5" spans="1:10" s="94" customFormat="1" ht="30" customHeight="1" x14ac:dyDescent="0.25">
      <c r="A5" s="127"/>
      <c r="B5" s="32" t="s">
        <v>1318</v>
      </c>
      <c r="C5" s="96" t="s">
        <v>290</v>
      </c>
      <c r="D5" s="90" t="s">
        <v>54</v>
      </c>
      <c r="E5" s="90" t="s">
        <v>31</v>
      </c>
      <c r="F5" s="90" t="s">
        <v>13</v>
      </c>
      <c r="G5" s="90" t="s">
        <v>1322</v>
      </c>
      <c r="H5" s="91">
        <v>25920</v>
      </c>
      <c r="I5" s="92">
        <v>0.25</v>
      </c>
      <c r="J5" s="91">
        <f t="shared" si="0"/>
        <v>19440</v>
      </c>
    </row>
    <row r="6" spans="1:10" s="94" customFormat="1" ht="30" customHeight="1" x14ac:dyDescent="0.25">
      <c r="A6" s="127"/>
      <c r="B6" s="32" t="s">
        <v>1319</v>
      </c>
      <c r="C6" s="96" t="s">
        <v>291</v>
      </c>
      <c r="D6" s="90" t="s">
        <v>54</v>
      </c>
      <c r="E6" s="90" t="s">
        <v>31</v>
      </c>
      <c r="F6" s="90" t="s">
        <v>13</v>
      </c>
      <c r="G6" s="90" t="s">
        <v>1322</v>
      </c>
      <c r="H6" s="91">
        <v>27120</v>
      </c>
      <c r="I6" s="92">
        <v>0.25</v>
      </c>
      <c r="J6" s="91">
        <f t="shared" si="0"/>
        <v>20340</v>
      </c>
    </row>
    <row r="7" spans="1:10" s="94" customFormat="1" ht="30" customHeight="1" x14ac:dyDescent="0.25">
      <c r="A7" s="127"/>
      <c r="B7" s="32" t="s">
        <v>1320</v>
      </c>
      <c r="C7" s="96" t="s">
        <v>466</v>
      </c>
      <c r="D7" s="90" t="s">
        <v>54</v>
      </c>
      <c r="E7" s="90" t="s">
        <v>31</v>
      </c>
      <c r="F7" s="90" t="s">
        <v>13</v>
      </c>
      <c r="G7" s="90" t="s">
        <v>1322</v>
      </c>
      <c r="H7" s="91">
        <v>32400</v>
      </c>
      <c r="I7" s="92">
        <v>0.25</v>
      </c>
      <c r="J7" s="91">
        <f t="shared" si="0"/>
        <v>24300</v>
      </c>
    </row>
    <row r="8" spans="1:10" s="94" customFormat="1" ht="30" customHeight="1" x14ac:dyDescent="0.25">
      <c r="A8" s="127"/>
      <c r="B8" s="32" t="s">
        <v>1321</v>
      </c>
      <c r="C8" s="96" t="s">
        <v>60</v>
      </c>
      <c r="D8" s="90" t="s">
        <v>54</v>
      </c>
      <c r="E8" s="90" t="s">
        <v>31</v>
      </c>
      <c r="F8" s="90" t="s">
        <v>13</v>
      </c>
      <c r="G8" s="90" t="s">
        <v>1322</v>
      </c>
      <c r="H8" s="91">
        <v>34800</v>
      </c>
      <c r="I8" s="92">
        <v>0.25</v>
      </c>
      <c r="J8" s="91">
        <f t="shared" si="0"/>
        <v>26100</v>
      </c>
    </row>
    <row r="9" spans="1:10" s="94" customFormat="1" ht="30" customHeight="1" x14ac:dyDescent="0.25">
      <c r="A9" s="119"/>
      <c r="B9" s="32" t="s">
        <v>1323</v>
      </c>
      <c r="C9" s="96" t="s">
        <v>51</v>
      </c>
      <c r="D9" s="90" t="s">
        <v>55</v>
      </c>
      <c r="E9" s="90" t="s">
        <v>31</v>
      </c>
      <c r="F9" s="90" t="s">
        <v>13</v>
      </c>
      <c r="G9" s="90" t="s">
        <v>1332</v>
      </c>
      <c r="H9" s="91">
        <v>14760</v>
      </c>
      <c r="I9" s="92">
        <v>0.25</v>
      </c>
      <c r="J9" s="91">
        <f t="shared" si="0"/>
        <v>11070</v>
      </c>
    </row>
    <row r="10" spans="1:10" s="94" customFormat="1" ht="30" customHeight="1" x14ac:dyDescent="0.25">
      <c r="A10" s="119"/>
      <c r="B10" s="32" t="s">
        <v>1324</v>
      </c>
      <c r="C10" s="96" t="s">
        <v>290</v>
      </c>
      <c r="D10" s="90" t="s">
        <v>55</v>
      </c>
      <c r="E10" s="90" t="s">
        <v>31</v>
      </c>
      <c r="F10" s="90" t="s">
        <v>13</v>
      </c>
      <c r="G10" s="90" t="s">
        <v>1332</v>
      </c>
      <c r="H10" s="91">
        <v>15360</v>
      </c>
      <c r="I10" s="92">
        <v>0.25</v>
      </c>
      <c r="J10" s="91">
        <f t="shared" si="0"/>
        <v>11520</v>
      </c>
    </row>
    <row r="11" spans="1:10" s="94" customFormat="1" ht="30" customHeight="1" x14ac:dyDescent="0.25">
      <c r="A11" s="119"/>
      <c r="B11" s="32" t="s">
        <v>1325</v>
      </c>
      <c r="C11" s="96" t="s">
        <v>291</v>
      </c>
      <c r="D11" s="90" t="s">
        <v>55</v>
      </c>
      <c r="E11" s="90" t="s">
        <v>31</v>
      </c>
      <c r="F11" s="90" t="s">
        <v>13</v>
      </c>
      <c r="G11" s="90" t="s">
        <v>1332</v>
      </c>
      <c r="H11" s="91">
        <v>16560</v>
      </c>
      <c r="I11" s="92">
        <v>0.25</v>
      </c>
      <c r="J11" s="91">
        <f t="shared" si="0"/>
        <v>12420</v>
      </c>
    </row>
    <row r="12" spans="1:10" s="94" customFormat="1" ht="30" customHeight="1" x14ac:dyDescent="0.25">
      <c r="A12" s="119"/>
      <c r="B12" s="32" t="s">
        <v>1326</v>
      </c>
      <c r="C12" s="96" t="s">
        <v>185</v>
      </c>
      <c r="D12" s="90" t="s">
        <v>55</v>
      </c>
      <c r="E12" s="90" t="s">
        <v>31</v>
      </c>
      <c r="F12" s="90" t="s">
        <v>13</v>
      </c>
      <c r="G12" s="90" t="s">
        <v>1332</v>
      </c>
      <c r="H12" s="91">
        <v>17100</v>
      </c>
      <c r="I12" s="92">
        <v>0.25</v>
      </c>
      <c r="J12" s="91">
        <f t="shared" si="0"/>
        <v>12830</v>
      </c>
    </row>
    <row r="13" spans="1:10" s="94" customFormat="1" ht="30" customHeight="1" x14ac:dyDescent="0.25">
      <c r="A13" s="119"/>
      <c r="B13" s="32" t="s">
        <v>1327</v>
      </c>
      <c r="C13" s="96" t="s">
        <v>216</v>
      </c>
      <c r="D13" s="90" t="s">
        <v>55</v>
      </c>
      <c r="E13" s="90" t="s">
        <v>31</v>
      </c>
      <c r="F13" s="90" t="s">
        <v>13</v>
      </c>
      <c r="G13" s="90" t="s">
        <v>1332</v>
      </c>
      <c r="H13" s="91">
        <v>21240</v>
      </c>
      <c r="I13" s="92">
        <v>0.25</v>
      </c>
      <c r="J13" s="91">
        <f>CEILING(H13*0.75,10)</f>
        <v>15930</v>
      </c>
    </row>
    <row r="14" spans="1:10" s="94" customFormat="1" ht="30" customHeight="1" x14ac:dyDescent="0.25">
      <c r="A14" s="119"/>
      <c r="B14" s="32" t="s">
        <v>1328</v>
      </c>
      <c r="C14" s="96" t="s">
        <v>217</v>
      </c>
      <c r="D14" s="90" t="s">
        <v>55</v>
      </c>
      <c r="E14" s="90" t="s">
        <v>31</v>
      </c>
      <c r="F14" s="90" t="s">
        <v>13</v>
      </c>
      <c r="G14" s="90" t="s">
        <v>1333</v>
      </c>
      <c r="H14" s="91">
        <v>25920</v>
      </c>
      <c r="I14" s="92">
        <v>0.25</v>
      </c>
      <c r="J14" s="91">
        <f t="shared" si="0"/>
        <v>19440</v>
      </c>
    </row>
    <row r="15" spans="1:10" s="94" customFormat="1" ht="30" customHeight="1" x14ac:dyDescent="0.25">
      <c r="A15" s="119"/>
      <c r="B15" s="32" t="s">
        <v>1329</v>
      </c>
      <c r="C15" s="96" t="s">
        <v>65</v>
      </c>
      <c r="D15" s="90" t="s">
        <v>55</v>
      </c>
      <c r="E15" s="90" t="s">
        <v>31</v>
      </c>
      <c r="F15" s="90" t="s">
        <v>13</v>
      </c>
      <c r="G15" s="90" t="s">
        <v>1333</v>
      </c>
      <c r="H15" s="91">
        <v>30000</v>
      </c>
      <c r="I15" s="92">
        <v>0.25</v>
      </c>
      <c r="J15" s="91">
        <f t="shared" si="0"/>
        <v>22500</v>
      </c>
    </row>
    <row r="16" spans="1:10" s="94" customFormat="1" ht="30" customHeight="1" x14ac:dyDescent="0.25">
      <c r="A16" s="119"/>
      <c r="B16" s="32" t="s">
        <v>1330</v>
      </c>
      <c r="C16" s="96" t="s">
        <v>66</v>
      </c>
      <c r="D16" s="90" t="s">
        <v>55</v>
      </c>
      <c r="E16" s="90" t="s">
        <v>31</v>
      </c>
      <c r="F16" s="90" t="s">
        <v>13</v>
      </c>
      <c r="G16" s="90" t="s">
        <v>1333</v>
      </c>
      <c r="H16" s="91">
        <v>36600</v>
      </c>
      <c r="I16" s="92">
        <v>0.25</v>
      </c>
      <c r="J16" s="91">
        <f t="shared" si="0"/>
        <v>27450</v>
      </c>
    </row>
    <row r="17" spans="1:10" s="94" customFormat="1" ht="30" customHeight="1" x14ac:dyDescent="0.25">
      <c r="A17" s="119"/>
      <c r="B17" s="32" t="s">
        <v>1331</v>
      </c>
      <c r="C17" s="96" t="s">
        <v>218</v>
      </c>
      <c r="D17" s="90" t="s">
        <v>55</v>
      </c>
      <c r="E17" s="90" t="s">
        <v>31</v>
      </c>
      <c r="F17" s="90" t="s">
        <v>13</v>
      </c>
      <c r="G17" s="90" t="s">
        <v>1333</v>
      </c>
      <c r="H17" s="91">
        <v>41280</v>
      </c>
      <c r="I17" s="92">
        <v>0.25</v>
      </c>
      <c r="J17" s="91">
        <f t="shared" si="0"/>
        <v>30960</v>
      </c>
    </row>
    <row r="18" spans="1:10" s="94" customFormat="1" ht="30" customHeight="1" x14ac:dyDescent="0.25">
      <c r="A18" s="119"/>
      <c r="B18" s="32" t="s">
        <v>1343</v>
      </c>
      <c r="C18" s="96" t="s">
        <v>1342</v>
      </c>
      <c r="D18" s="90" t="s">
        <v>56</v>
      </c>
      <c r="E18" s="90" t="s">
        <v>31</v>
      </c>
      <c r="F18" s="90" t="s">
        <v>13</v>
      </c>
      <c r="G18" s="90" t="s">
        <v>121</v>
      </c>
      <c r="H18" s="91">
        <v>21240</v>
      </c>
      <c r="I18" s="92">
        <v>0.25</v>
      </c>
      <c r="J18" s="91">
        <f t="shared" si="0"/>
        <v>15930</v>
      </c>
    </row>
    <row r="19" spans="1:10" s="94" customFormat="1" ht="30" customHeight="1" x14ac:dyDescent="0.25">
      <c r="A19" s="119"/>
      <c r="B19" s="32" t="s">
        <v>1334</v>
      </c>
      <c r="C19" s="96" t="s">
        <v>270</v>
      </c>
      <c r="D19" s="90" t="s">
        <v>56</v>
      </c>
      <c r="E19" s="90" t="s">
        <v>31</v>
      </c>
      <c r="F19" s="90" t="s">
        <v>13</v>
      </c>
      <c r="G19" s="90" t="s">
        <v>121</v>
      </c>
      <c r="H19" s="91">
        <v>24780</v>
      </c>
      <c r="I19" s="92">
        <v>0.25</v>
      </c>
      <c r="J19" s="91">
        <f t="shared" si="0"/>
        <v>18590</v>
      </c>
    </row>
    <row r="20" spans="1:10" s="94" customFormat="1" ht="30" customHeight="1" x14ac:dyDescent="0.25">
      <c r="A20" s="119"/>
      <c r="B20" s="32" t="s">
        <v>1335</v>
      </c>
      <c r="C20" s="96" t="s">
        <v>68</v>
      </c>
      <c r="D20" s="90" t="s">
        <v>56</v>
      </c>
      <c r="E20" s="90" t="s">
        <v>31</v>
      </c>
      <c r="F20" s="90" t="s">
        <v>13</v>
      </c>
      <c r="G20" s="90" t="s">
        <v>121</v>
      </c>
      <c r="H20" s="91">
        <v>25920</v>
      </c>
      <c r="I20" s="92">
        <v>0.25</v>
      </c>
      <c r="J20" s="91">
        <f t="shared" si="0"/>
        <v>19440</v>
      </c>
    </row>
    <row r="21" spans="1:10" s="94" customFormat="1" ht="30" customHeight="1" x14ac:dyDescent="0.25">
      <c r="A21" s="119"/>
      <c r="B21" s="32" t="s">
        <v>1336</v>
      </c>
      <c r="C21" s="96" t="s">
        <v>578</v>
      </c>
      <c r="D21" s="90" t="s">
        <v>57</v>
      </c>
      <c r="E21" s="90" t="s">
        <v>273</v>
      </c>
      <c r="F21" s="90" t="s">
        <v>13</v>
      </c>
      <c r="G21" s="90" t="s">
        <v>121</v>
      </c>
      <c r="H21" s="91">
        <v>13680</v>
      </c>
      <c r="I21" s="92">
        <v>0.25</v>
      </c>
      <c r="J21" s="91">
        <f t="shared" si="0"/>
        <v>10260</v>
      </c>
    </row>
    <row r="22" spans="1:10" s="94" customFormat="1" ht="20.100000000000001" customHeight="1" x14ac:dyDescent="0.25">
      <c r="A22" s="120" t="s">
        <v>74</v>
      </c>
      <c r="B22" s="120"/>
      <c r="C22" s="120"/>
      <c r="D22" s="120"/>
      <c r="E22" s="120"/>
      <c r="F22" s="120"/>
      <c r="G22" s="120"/>
      <c r="H22" s="120"/>
      <c r="I22" s="120"/>
      <c r="J22" s="120"/>
    </row>
    <row r="23" spans="1:10" s="94" customFormat="1" ht="99.75" customHeight="1" x14ac:dyDescent="0.25">
      <c r="A23" s="97"/>
      <c r="B23" s="119" t="s">
        <v>1383</v>
      </c>
      <c r="C23" s="119"/>
      <c r="D23" s="119"/>
      <c r="E23" s="119"/>
      <c r="F23" s="119"/>
      <c r="G23" s="119"/>
      <c r="H23" s="91">
        <v>3600</v>
      </c>
      <c r="I23" s="92">
        <v>0.1</v>
      </c>
      <c r="J23" s="91">
        <f>CEILING(H23*0.9,10)</f>
        <v>3240</v>
      </c>
    </row>
    <row r="24" spans="1:10" s="94" customFormat="1" ht="20.100000000000001" customHeight="1" x14ac:dyDescent="0.25">
      <c r="A24" s="125"/>
      <c r="B24" s="125"/>
      <c r="C24" s="125"/>
      <c r="D24" s="125"/>
      <c r="E24" s="125"/>
      <c r="F24" s="125"/>
      <c r="G24" s="125"/>
      <c r="H24" s="125"/>
      <c r="I24" s="125"/>
      <c r="J24" s="125"/>
    </row>
  </sheetData>
  <mergeCells count="7">
    <mergeCell ref="A24:J24"/>
    <mergeCell ref="B23:G23"/>
    <mergeCell ref="A1:J1"/>
    <mergeCell ref="A3:A8"/>
    <mergeCell ref="A9:A17"/>
    <mergeCell ref="A18:A21"/>
    <mergeCell ref="A22:J22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 display="DL-6001"/>
    <hyperlink ref="B19" r:id="rId17"/>
    <hyperlink ref="B20" r:id="rId18"/>
    <hyperlink ref="B21" r:id="rId19"/>
  </hyperlinks>
  <pageMargins left="0.7" right="0.7" top="0.75" bottom="0.75" header="0.3" footer="0.3"/>
  <drawing r:id="rId2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45"/>
  <sheetViews>
    <sheetView zoomScale="90" zoomScaleNormal="90" workbookViewId="0">
      <selection activeCell="B5" sqref="B5"/>
    </sheetView>
  </sheetViews>
  <sheetFormatPr defaultRowHeight="13.5" x14ac:dyDescent="0.25"/>
  <cols>
    <col min="1" max="1" width="23.28515625" style="1" customWidth="1"/>
    <col min="2" max="2" width="15.7109375" style="1" customWidth="1"/>
    <col min="3" max="3" width="20.7109375" style="1" customWidth="1"/>
    <col min="4" max="4" width="15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1691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5"/>
      <c r="B2" s="3" t="s">
        <v>2</v>
      </c>
      <c r="C2" s="4" t="s">
        <v>48</v>
      </c>
      <c r="D2" s="4" t="s">
        <v>49</v>
      </c>
      <c r="E2" s="3" t="s">
        <v>9</v>
      </c>
      <c r="F2" s="3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s="94" customFormat="1" ht="20.100000000000001" customHeight="1" x14ac:dyDescent="0.25">
      <c r="A3" s="119"/>
      <c r="B3" s="20" t="s">
        <v>3</v>
      </c>
      <c r="C3" s="90" t="s">
        <v>50</v>
      </c>
      <c r="D3" s="90" t="s">
        <v>53</v>
      </c>
      <c r="E3" s="90" t="s">
        <v>14</v>
      </c>
      <c r="F3" s="90" t="s">
        <v>13</v>
      </c>
      <c r="G3" s="90" t="s">
        <v>16</v>
      </c>
      <c r="H3" s="91">
        <f>CEILING(1400*USD,10)</f>
        <v>90500</v>
      </c>
      <c r="I3" s="92">
        <v>0.25</v>
      </c>
      <c r="J3" s="91">
        <f t="shared" ref="J3:J8" si="0">CEILING(H3*0.75,10)</f>
        <v>67880</v>
      </c>
    </row>
    <row r="4" spans="1:10" s="94" customFormat="1" ht="20.100000000000001" customHeight="1" x14ac:dyDescent="0.25">
      <c r="A4" s="119"/>
      <c r="B4" s="20" t="s">
        <v>4</v>
      </c>
      <c r="C4" s="90" t="s">
        <v>51</v>
      </c>
      <c r="D4" s="90" t="s">
        <v>53</v>
      </c>
      <c r="E4" s="90" t="s">
        <v>14</v>
      </c>
      <c r="F4" s="90" t="s">
        <v>13</v>
      </c>
      <c r="G4" s="90" t="s">
        <v>16</v>
      </c>
      <c r="H4" s="91">
        <f>CEILING(1420*USD,10)</f>
        <v>91790</v>
      </c>
      <c r="I4" s="92">
        <v>0.25</v>
      </c>
      <c r="J4" s="91">
        <f t="shared" si="0"/>
        <v>68850</v>
      </c>
    </row>
    <row r="5" spans="1:10" s="94" customFormat="1" ht="20.100000000000001" customHeight="1" x14ac:dyDescent="0.25">
      <c r="A5" s="119"/>
      <c r="B5" s="20" t="s">
        <v>5</v>
      </c>
      <c r="C5" s="90" t="s">
        <v>52</v>
      </c>
      <c r="D5" s="90" t="s">
        <v>53</v>
      </c>
      <c r="E5" s="90" t="s">
        <v>14</v>
      </c>
      <c r="F5" s="90" t="s">
        <v>13</v>
      </c>
      <c r="G5" s="90" t="s">
        <v>16</v>
      </c>
      <c r="H5" s="91">
        <f>CEILING(1460*USD,10)</f>
        <v>94380</v>
      </c>
      <c r="I5" s="92">
        <v>0.25</v>
      </c>
      <c r="J5" s="91">
        <f t="shared" si="0"/>
        <v>70790</v>
      </c>
    </row>
    <row r="6" spans="1:10" s="94" customFormat="1" ht="20.100000000000001" customHeight="1" x14ac:dyDescent="0.25">
      <c r="A6" s="119"/>
      <c r="B6" s="20" t="s">
        <v>6</v>
      </c>
      <c r="C6" s="90" t="s">
        <v>50</v>
      </c>
      <c r="D6" s="90" t="s">
        <v>53</v>
      </c>
      <c r="E6" s="90" t="s">
        <v>14</v>
      </c>
      <c r="F6" s="90" t="s">
        <v>15</v>
      </c>
      <c r="G6" s="90" t="s">
        <v>16</v>
      </c>
      <c r="H6" s="91">
        <f>CEILING(1500*USD,10)</f>
        <v>96960</v>
      </c>
      <c r="I6" s="92">
        <v>0.25</v>
      </c>
      <c r="J6" s="91">
        <f t="shared" si="0"/>
        <v>72720</v>
      </c>
    </row>
    <row r="7" spans="1:10" s="94" customFormat="1" ht="20.100000000000001" customHeight="1" x14ac:dyDescent="0.25">
      <c r="A7" s="119"/>
      <c r="B7" s="20" t="s">
        <v>7</v>
      </c>
      <c r="C7" s="90" t="s">
        <v>51</v>
      </c>
      <c r="D7" s="90" t="s">
        <v>53</v>
      </c>
      <c r="E7" s="90" t="s">
        <v>14</v>
      </c>
      <c r="F7" s="90" t="s">
        <v>15</v>
      </c>
      <c r="G7" s="90" t="s">
        <v>16</v>
      </c>
      <c r="H7" s="91">
        <f>CEILING(1540*USD,10)</f>
        <v>99550</v>
      </c>
      <c r="I7" s="92">
        <v>0.25</v>
      </c>
      <c r="J7" s="91">
        <f t="shared" si="0"/>
        <v>74670</v>
      </c>
    </row>
    <row r="8" spans="1:10" s="94" customFormat="1" ht="20.100000000000001" customHeight="1" x14ac:dyDescent="0.25">
      <c r="A8" s="119"/>
      <c r="B8" s="20" t="s">
        <v>8</v>
      </c>
      <c r="C8" s="90" t="s">
        <v>52</v>
      </c>
      <c r="D8" s="90" t="s">
        <v>53</v>
      </c>
      <c r="E8" s="90" t="s">
        <v>14</v>
      </c>
      <c r="F8" s="90" t="s">
        <v>15</v>
      </c>
      <c r="G8" s="90" t="s">
        <v>16</v>
      </c>
      <c r="H8" s="91">
        <f>CEILING(1600*USD,10)</f>
        <v>103430</v>
      </c>
      <c r="I8" s="92">
        <v>0.25</v>
      </c>
      <c r="J8" s="91">
        <f t="shared" si="0"/>
        <v>77580</v>
      </c>
    </row>
    <row r="9" spans="1:10" s="94" customFormat="1" ht="20.100000000000001" customHeight="1" x14ac:dyDescent="0.25">
      <c r="A9" s="120" t="s">
        <v>74</v>
      </c>
      <c r="B9" s="120"/>
      <c r="C9" s="120"/>
      <c r="D9" s="120"/>
      <c r="E9" s="120"/>
      <c r="F9" s="120"/>
      <c r="G9" s="120"/>
      <c r="H9" s="120"/>
      <c r="I9" s="120"/>
      <c r="J9" s="120"/>
    </row>
    <row r="10" spans="1:10" s="94" customFormat="1" ht="20.100000000000001" customHeight="1" x14ac:dyDescent="0.25">
      <c r="A10" s="121" t="s">
        <v>75</v>
      </c>
      <c r="B10" s="122"/>
      <c r="C10" s="122"/>
      <c r="D10" s="122"/>
      <c r="E10" s="122"/>
      <c r="F10" s="122"/>
      <c r="G10" s="123"/>
      <c r="H10" s="91">
        <f>CEILING(520*USD,10)</f>
        <v>33620</v>
      </c>
      <c r="I10" s="92">
        <v>0.1</v>
      </c>
      <c r="J10" s="91">
        <f>CEILING(H10*0.9,10)</f>
        <v>30260</v>
      </c>
    </row>
    <row r="11" spans="1:10" s="94" customFormat="1" ht="20.100000000000001" customHeight="1" x14ac:dyDescent="0.25">
      <c r="A11" s="121" t="s">
        <v>1174</v>
      </c>
      <c r="B11" s="122"/>
      <c r="C11" s="122"/>
      <c r="D11" s="122"/>
      <c r="E11" s="122"/>
      <c r="F11" s="122"/>
      <c r="G11" s="123"/>
      <c r="H11" s="91">
        <f>CEILING(100*USD,10)</f>
        <v>6470</v>
      </c>
      <c r="I11" s="92">
        <v>0.1</v>
      </c>
      <c r="J11" s="91">
        <f>CEILING(H11*0.9,10)</f>
        <v>5830</v>
      </c>
    </row>
    <row r="12" spans="1:10" s="94" customFormat="1" ht="20.100000000000001" customHeight="1" x14ac:dyDescent="0.25">
      <c r="A12" s="121" t="s">
        <v>1046</v>
      </c>
      <c r="B12" s="122"/>
      <c r="C12" s="122"/>
      <c r="D12" s="122"/>
      <c r="E12" s="122"/>
      <c r="F12" s="122"/>
      <c r="G12" s="123"/>
      <c r="H12" s="91">
        <f>CEILING(480*USD,10)</f>
        <v>31030</v>
      </c>
      <c r="I12" s="92">
        <v>0.1</v>
      </c>
      <c r="J12" s="91">
        <f>CEILING(H12*0.9,10)</f>
        <v>27930</v>
      </c>
    </row>
    <row r="13" spans="1:10" s="94" customFormat="1" ht="20.100000000000001" customHeight="1" x14ac:dyDescent="0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</row>
    <row r="14" spans="1:10" ht="39.950000000000003" customHeight="1" x14ac:dyDescent="0.25">
      <c r="A14" s="117" t="s">
        <v>1692</v>
      </c>
      <c r="B14" s="118"/>
      <c r="C14" s="118"/>
      <c r="D14" s="118"/>
      <c r="E14" s="118"/>
      <c r="F14" s="118"/>
      <c r="G14" s="118"/>
      <c r="H14" s="118"/>
      <c r="I14" s="118"/>
      <c r="J14" s="118"/>
    </row>
    <row r="15" spans="1:10" ht="30" x14ac:dyDescent="0.25">
      <c r="A15" s="5"/>
      <c r="B15" s="3" t="s">
        <v>2</v>
      </c>
      <c r="C15" s="4" t="s">
        <v>48</v>
      </c>
      <c r="D15" s="4" t="s">
        <v>49</v>
      </c>
      <c r="E15" s="3" t="s">
        <v>9</v>
      </c>
      <c r="F15" s="3" t="s">
        <v>10</v>
      </c>
      <c r="G15" s="4" t="s">
        <v>11</v>
      </c>
      <c r="H15" s="4" t="s">
        <v>17</v>
      </c>
      <c r="I15" s="4" t="s">
        <v>12</v>
      </c>
      <c r="J15" s="4" t="s">
        <v>18</v>
      </c>
    </row>
    <row r="16" spans="1:10" s="94" customFormat="1" ht="20.100000000000001" customHeight="1" x14ac:dyDescent="0.25">
      <c r="A16" s="126"/>
      <c r="B16" s="32" t="s">
        <v>19</v>
      </c>
      <c r="C16" s="96" t="s">
        <v>51</v>
      </c>
      <c r="D16" s="90" t="s">
        <v>54</v>
      </c>
      <c r="E16" s="90" t="s">
        <v>31</v>
      </c>
      <c r="F16" s="90" t="s">
        <v>13</v>
      </c>
      <c r="G16" s="90" t="s">
        <v>30</v>
      </c>
      <c r="H16" s="91">
        <f>CEILING(825*USD,10)</f>
        <v>53330</v>
      </c>
      <c r="I16" s="92">
        <v>0.25</v>
      </c>
      <c r="J16" s="91">
        <f>CEILING(H16*0.75,10)</f>
        <v>40000</v>
      </c>
    </row>
    <row r="17" spans="1:10" s="94" customFormat="1" ht="20.100000000000001" customHeight="1" x14ac:dyDescent="0.25">
      <c r="A17" s="127"/>
      <c r="B17" s="32" t="s">
        <v>20</v>
      </c>
      <c r="C17" s="96" t="s">
        <v>52</v>
      </c>
      <c r="D17" s="90" t="s">
        <v>54</v>
      </c>
      <c r="E17" s="90" t="s">
        <v>31</v>
      </c>
      <c r="F17" s="90" t="s">
        <v>13</v>
      </c>
      <c r="G17" s="90" t="s">
        <v>30</v>
      </c>
      <c r="H17" s="91">
        <f>CEILING(840*USD,10)</f>
        <v>54300</v>
      </c>
      <c r="I17" s="92">
        <v>0.25</v>
      </c>
      <c r="J17" s="91">
        <f t="shared" ref="J17:J41" si="1">CEILING(H17*0.75,10)</f>
        <v>40730</v>
      </c>
    </row>
    <row r="18" spans="1:10" s="94" customFormat="1" ht="20.100000000000001" customHeight="1" x14ac:dyDescent="0.25">
      <c r="A18" s="127"/>
      <c r="B18" s="32" t="s">
        <v>21</v>
      </c>
      <c r="C18" s="96" t="s">
        <v>58</v>
      </c>
      <c r="D18" s="90" t="s">
        <v>54</v>
      </c>
      <c r="E18" s="90" t="s">
        <v>31</v>
      </c>
      <c r="F18" s="90" t="s">
        <v>13</v>
      </c>
      <c r="G18" s="90" t="s">
        <v>30</v>
      </c>
      <c r="H18" s="91">
        <f>CEILING(855*USD,10)</f>
        <v>55270</v>
      </c>
      <c r="I18" s="92">
        <v>0.25</v>
      </c>
      <c r="J18" s="91">
        <f t="shared" si="1"/>
        <v>41460</v>
      </c>
    </row>
    <row r="19" spans="1:10" s="94" customFormat="1" ht="20.100000000000001" customHeight="1" x14ac:dyDescent="0.25">
      <c r="A19" s="127"/>
      <c r="B19" s="32" t="s">
        <v>22</v>
      </c>
      <c r="C19" s="96" t="s">
        <v>59</v>
      </c>
      <c r="D19" s="90" t="s">
        <v>54</v>
      </c>
      <c r="E19" s="90" t="s">
        <v>31</v>
      </c>
      <c r="F19" s="90" t="s">
        <v>13</v>
      </c>
      <c r="G19" s="90" t="s">
        <v>30</v>
      </c>
      <c r="H19" s="91">
        <f>CEILING(870*USD,10)</f>
        <v>56240</v>
      </c>
      <c r="I19" s="92">
        <v>0.25</v>
      </c>
      <c r="J19" s="91">
        <f t="shared" si="1"/>
        <v>42180</v>
      </c>
    </row>
    <row r="20" spans="1:10" s="94" customFormat="1" ht="20.100000000000001" customHeight="1" x14ac:dyDescent="0.25">
      <c r="A20" s="127"/>
      <c r="B20" s="32" t="s">
        <v>23</v>
      </c>
      <c r="C20" s="96" t="s">
        <v>60</v>
      </c>
      <c r="D20" s="90" t="s">
        <v>54</v>
      </c>
      <c r="E20" s="90" t="s">
        <v>31</v>
      </c>
      <c r="F20" s="90" t="s">
        <v>13</v>
      </c>
      <c r="G20" s="90" t="s">
        <v>30</v>
      </c>
      <c r="H20" s="91">
        <f>CEILING(890*USD,10)</f>
        <v>57530</v>
      </c>
      <c r="I20" s="92">
        <v>0.25</v>
      </c>
      <c r="J20" s="91">
        <f t="shared" si="1"/>
        <v>43150</v>
      </c>
    </row>
    <row r="21" spans="1:10" s="94" customFormat="1" ht="20.100000000000001" customHeight="1" x14ac:dyDescent="0.25">
      <c r="A21" s="127"/>
      <c r="B21" s="32" t="s">
        <v>24</v>
      </c>
      <c r="C21" s="96" t="s">
        <v>61</v>
      </c>
      <c r="D21" s="90" t="s">
        <v>54</v>
      </c>
      <c r="E21" s="90" t="s">
        <v>14</v>
      </c>
      <c r="F21" s="90" t="s">
        <v>13</v>
      </c>
      <c r="G21" s="90" t="s">
        <v>30</v>
      </c>
      <c r="H21" s="91">
        <f>CEILING(990*USD,10)</f>
        <v>64000</v>
      </c>
      <c r="I21" s="92">
        <v>0.25</v>
      </c>
      <c r="J21" s="91">
        <f t="shared" si="1"/>
        <v>48000</v>
      </c>
    </row>
    <row r="22" spans="1:10" s="94" customFormat="1" ht="20.100000000000001" customHeight="1" x14ac:dyDescent="0.25">
      <c r="A22" s="127"/>
      <c r="B22" s="32" t="s">
        <v>25</v>
      </c>
      <c r="C22" s="90" t="s">
        <v>62</v>
      </c>
      <c r="D22" s="90" t="s">
        <v>54</v>
      </c>
      <c r="E22" s="90" t="s">
        <v>14</v>
      </c>
      <c r="F22" s="90" t="s">
        <v>13</v>
      </c>
      <c r="G22" s="90" t="s">
        <v>30</v>
      </c>
      <c r="H22" s="91">
        <f>CEILING(1220*USD,10)</f>
        <v>78870</v>
      </c>
      <c r="I22" s="92">
        <v>0.25</v>
      </c>
      <c r="J22" s="91">
        <f t="shared" si="1"/>
        <v>59160</v>
      </c>
    </row>
    <row r="23" spans="1:10" s="94" customFormat="1" ht="20.100000000000001" customHeight="1" x14ac:dyDescent="0.25">
      <c r="A23" s="127"/>
      <c r="B23" s="32" t="s">
        <v>26</v>
      </c>
      <c r="C23" s="90" t="s">
        <v>52</v>
      </c>
      <c r="D23" s="90" t="s">
        <v>54</v>
      </c>
      <c r="E23" s="90" t="s">
        <v>31</v>
      </c>
      <c r="F23" s="90" t="s">
        <v>15</v>
      </c>
      <c r="G23" s="90" t="s">
        <v>30</v>
      </c>
      <c r="H23" s="91">
        <f>CEILING(1010*USD,10)</f>
        <v>65290</v>
      </c>
      <c r="I23" s="92">
        <v>0.25</v>
      </c>
      <c r="J23" s="91">
        <f t="shared" si="1"/>
        <v>48970</v>
      </c>
    </row>
    <row r="24" spans="1:10" s="94" customFormat="1" ht="20.100000000000001" customHeight="1" x14ac:dyDescent="0.25">
      <c r="A24" s="127"/>
      <c r="B24" s="32" t="s">
        <v>27</v>
      </c>
      <c r="C24" s="90" t="s">
        <v>58</v>
      </c>
      <c r="D24" s="90" t="s">
        <v>54</v>
      </c>
      <c r="E24" s="90" t="s">
        <v>31</v>
      </c>
      <c r="F24" s="90" t="s">
        <v>15</v>
      </c>
      <c r="G24" s="90" t="s">
        <v>30</v>
      </c>
      <c r="H24" s="91">
        <f>CEILING(1030*USD,10)</f>
        <v>66580</v>
      </c>
      <c r="I24" s="92">
        <v>0.25</v>
      </c>
      <c r="J24" s="91">
        <f t="shared" si="1"/>
        <v>49940</v>
      </c>
    </row>
    <row r="25" spans="1:10" s="94" customFormat="1" ht="20.100000000000001" customHeight="1" x14ac:dyDescent="0.25">
      <c r="A25" s="127"/>
      <c r="B25" s="32" t="s">
        <v>28</v>
      </c>
      <c r="C25" s="90" t="s">
        <v>60</v>
      </c>
      <c r="D25" s="90" t="s">
        <v>54</v>
      </c>
      <c r="E25" s="90" t="s">
        <v>31</v>
      </c>
      <c r="F25" s="90" t="s">
        <v>15</v>
      </c>
      <c r="G25" s="90" t="s">
        <v>30</v>
      </c>
      <c r="H25" s="91">
        <f>CEILING(1050*USD,10)</f>
        <v>67880</v>
      </c>
      <c r="I25" s="92">
        <v>0.25</v>
      </c>
      <c r="J25" s="91">
        <f t="shared" si="1"/>
        <v>50910</v>
      </c>
    </row>
    <row r="26" spans="1:10" s="94" customFormat="1" ht="20.100000000000001" customHeight="1" x14ac:dyDescent="0.25">
      <c r="A26" s="128"/>
      <c r="B26" s="32" t="s">
        <v>29</v>
      </c>
      <c r="C26" s="90" t="s">
        <v>62</v>
      </c>
      <c r="D26" s="90" t="s">
        <v>54</v>
      </c>
      <c r="E26" s="90" t="s">
        <v>14</v>
      </c>
      <c r="F26" s="90" t="s">
        <v>15</v>
      </c>
      <c r="G26" s="90" t="s">
        <v>30</v>
      </c>
      <c r="H26" s="91">
        <f>CEILING(1320*USD,10)</f>
        <v>85330</v>
      </c>
      <c r="I26" s="92">
        <v>0.25</v>
      </c>
      <c r="J26" s="91">
        <f t="shared" si="1"/>
        <v>64000</v>
      </c>
    </row>
    <row r="27" spans="1:10" s="94" customFormat="1" ht="20.100000000000001" customHeight="1" x14ac:dyDescent="0.25">
      <c r="A27" s="119"/>
      <c r="B27" s="32" t="s">
        <v>32</v>
      </c>
      <c r="C27" s="96" t="s">
        <v>63</v>
      </c>
      <c r="D27" s="90" t="s">
        <v>55</v>
      </c>
      <c r="E27" s="90" t="s">
        <v>31</v>
      </c>
      <c r="F27" s="90" t="s">
        <v>13</v>
      </c>
      <c r="G27" s="90" t="s">
        <v>42</v>
      </c>
      <c r="H27" s="91">
        <f>CEILING(805*USD,10)</f>
        <v>52040</v>
      </c>
      <c r="I27" s="92">
        <v>0.25</v>
      </c>
      <c r="J27" s="91">
        <f t="shared" si="1"/>
        <v>39030</v>
      </c>
    </row>
    <row r="28" spans="1:10" s="94" customFormat="1" ht="20.100000000000001" customHeight="1" x14ac:dyDescent="0.25">
      <c r="A28" s="119"/>
      <c r="B28" s="32" t="s">
        <v>33</v>
      </c>
      <c r="C28" s="96" t="s">
        <v>64</v>
      </c>
      <c r="D28" s="90" t="s">
        <v>55</v>
      </c>
      <c r="E28" s="90" t="s">
        <v>31</v>
      </c>
      <c r="F28" s="90" t="s">
        <v>13</v>
      </c>
      <c r="G28" s="90" t="s">
        <v>42</v>
      </c>
      <c r="H28" s="91">
        <f>CEILING(840*USD,10)</f>
        <v>54300</v>
      </c>
      <c r="I28" s="92">
        <v>0.25</v>
      </c>
      <c r="J28" s="91">
        <f t="shared" si="1"/>
        <v>40730</v>
      </c>
    </row>
    <row r="29" spans="1:10" s="94" customFormat="1" ht="20.100000000000001" customHeight="1" x14ac:dyDescent="0.25">
      <c r="A29" s="119"/>
      <c r="B29" s="32" t="s">
        <v>34</v>
      </c>
      <c r="C29" s="96" t="s">
        <v>65</v>
      </c>
      <c r="D29" s="90" t="s">
        <v>55</v>
      </c>
      <c r="E29" s="90" t="s">
        <v>31</v>
      </c>
      <c r="F29" s="90" t="s">
        <v>13</v>
      </c>
      <c r="G29" s="90" t="s">
        <v>42</v>
      </c>
      <c r="H29" s="91">
        <f>CEILING(870*USD,10)</f>
        <v>56240</v>
      </c>
      <c r="I29" s="92">
        <v>0.25</v>
      </c>
      <c r="J29" s="91">
        <f t="shared" si="1"/>
        <v>42180</v>
      </c>
    </row>
    <row r="30" spans="1:10" s="94" customFormat="1" ht="20.100000000000001" customHeight="1" x14ac:dyDescent="0.25">
      <c r="A30" s="119"/>
      <c r="B30" s="32" t="s">
        <v>35</v>
      </c>
      <c r="C30" s="96" t="s">
        <v>66</v>
      </c>
      <c r="D30" s="90" t="s">
        <v>55</v>
      </c>
      <c r="E30" s="90" t="s">
        <v>31</v>
      </c>
      <c r="F30" s="90" t="s">
        <v>13</v>
      </c>
      <c r="G30" s="90" t="s">
        <v>42</v>
      </c>
      <c r="H30" s="91">
        <f>CEILING(905*USD,10)</f>
        <v>58500</v>
      </c>
      <c r="I30" s="92">
        <v>0.25</v>
      </c>
      <c r="J30" s="91">
        <f t="shared" si="1"/>
        <v>43880</v>
      </c>
    </row>
    <row r="31" spans="1:10" s="94" customFormat="1" ht="20.100000000000001" customHeight="1" x14ac:dyDescent="0.25">
      <c r="A31" s="119"/>
      <c r="B31" s="32" t="s">
        <v>36</v>
      </c>
      <c r="C31" s="96" t="s">
        <v>67</v>
      </c>
      <c r="D31" s="90" t="s">
        <v>55</v>
      </c>
      <c r="E31" s="90" t="s">
        <v>31</v>
      </c>
      <c r="F31" s="90" t="s">
        <v>13</v>
      </c>
      <c r="G31" s="90" t="s">
        <v>42</v>
      </c>
      <c r="H31" s="91">
        <f>CEILING(1120*USD,10)</f>
        <v>72400</v>
      </c>
      <c r="I31" s="92">
        <v>0.25</v>
      </c>
      <c r="J31" s="91">
        <f t="shared" si="1"/>
        <v>54300</v>
      </c>
    </row>
    <row r="32" spans="1:10" s="94" customFormat="1" ht="20.100000000000001" customHeight="1" x14ac:dyDescent="0.25">
      <c r="A32" s="119"/>
      <c r="B32" s="32" t="s">
        <v>37</v>
      </c>
      <c r="C32" s="96" t="s">
        <v>63</v>
      </c>
      <c r="D32" s="90" t="s">
        <v>55</v>
      </c>
      <c r="E32" s="90" t="s">
        <v>31</v>
      </c>
      <c r="F32" s="90" t="s">
        <v>15</v>
      </c>
      <c r="G32" s="90" t="s">
        <v>42</v>
      </c>
      <c r="H32" s="91">
        <f>CEILING(960*USD,10)</f>
        <v>62060</v>
      </c>
      <c r="I32" s="92">
        <v>0.25</v>
      </c>
      <c r="J32" s="91">
        <f t="shared" si="1"/>
        <v>46550</v>
      </c>
    </row>
    <row r="33" spans="1:10" s="94" customFormat="1" ht="20.100000000000001" customHeight="1" x14ac:dyDescent="0.25">
      <c r="A33" s="119"/>
      <c r="B33" s="32" t="s">
        <v>38</v>
      </c>
      <c r="C33" s="96" t="s">
        <v>64</v>
      </c>
      <c r="D33" s="90" t="s">
        <v>55</v>
      </c>
      <c r="E33" s="90" t="s">
        <v>31</v>
      </c>
      <c r="F33" s="90" t="s">
        <v>15</v>
      </c>
      <c r="G33" s="90" t="s">
        <v>42</v>
      </c>
      <c r="H33" s="91">
        <f>CEILING(990*USD,10)</f>
        <v>64000</v>
      </c>
      <c r="I33" s="92">
        <v>0.25</v>
      </c>
      <c r="J33" s="91">
        <f t="shared" si="1"/>
        <v>48000</v>
      </c>
    </row>
    <row r="34" spans="1:10" s="94" customFormat="1" ht="20.100000000000001" customHeight="1" x14ac:dyDescent="0.25">
      <c r="A34" s="119"/>
      <c r="B34" s="32" t="s">
        <v>39</v>
      </c>
      <c r="C34" s="96" t="s">
        <v>65</v>
      </c>
      <c r="D34" s="90" t="s">
        <v>55</v>
      </c>
      <c r="E34" s="90" t="s">
        <v>31</v>
      </c>
      <c r="F34" s="90" t="s">
        <v>15</v>
      </c>
      <c r="G34" s="90" t="s">
        <v>42</v>
      </c>
      <c r="H34" s="91">
        <f>CEILING(1050*USD,10)</f>
        <v>67880</v>
      </c>
      <c r="I34" s="92">
        <v>0.25</v>
      </c>
      <c r="J34" s="91">
        <f t="shared" si="1"/>
        <v>50910</v>
      </c>
    </row>
    <row r="35" spans="1:10" s="94" customFormat="1" ht="20.100000000000001" customHeight="1" x14ac:dyDescent="0.25">
      <c r="A35" s="119"/>
      <c r="B35" s="32" t="s">
        <v>40</v>
      </c>
      <c r="C35" s="96" t="s">
        <v>66</v>
      </c>
      <c r="D35" s="90" t="s">
        <v>55</v>
      </c>
      <c r="E35" s="90" t="s">
        <v>31</v>
      </c>
      <c r="F35" s="90" t="s">
        <v>15</v>
      </c>
      <c r="G35" s="90" t="s">
        <v>42</v>
      </c>
      <c r="H35" s="91">
        <f>CEILING(1090*USD,10)</f>
        <v>70460</v>
      </c>
      <c r="I35" s="92">
        <v>0.25</v>
      </c>
      <c r="J35" s="91">
        <f t="shared" si="1"/>
        <v>52850</v>
      </c>
    </row>
    <row r="36" spans="1:10" s="94" customFormat="1" ht="20.100000000000001" customHeight="1" x14ac:dyDescent="0.25">
      <c r="A36" s="119"/>
      <c r="B36" s="32" t="s">
        <v>41</v>
      </c>
      <c r="C36" s="96" t="s">
        <v>67</v>
      </c>
      <c r="D36" s="90" t="s">
        <v>55</v>
      </c>
      <c r="E36" s="90" t="s">
        <v>31</v>
      </c>
      <c r="F36" s="90" t="s">
        <v>15</v>
      </c>
      <c r="G36" s="90" t="s">
        <v>42</v>
      </c>
      <c r="H36" s="91">
        <f>CEILING(1330*USD,10)</f>
        <v>85980</v>
      </c>
      <c r="I36" s="92">
        <v>0.25</v>
      </c>
      <c r="J36" s="91">
        <f t="shared" si="1"/>
        <v>64490</v>
      </c>
    </row>
    <row r="37" spans="1:10" s="94" customFormat="1" ht="24.95" customHeight="1" x14ac:dyDescent="0.25">
      <c r="A37" s="119"/>
      <c r="B37" s="32" t="s">
        <v>43</v>
      </c>
      <c r="C37" s="96" t="s">
        <v>68</v>
      </c>
      <c r="D37" s="90" t="s">
        <v>56</v>
      </c>
      <c r="E37" s="90" t="s">
        <v>31</v>
      </c>
      <c r="F37" s="90" t="s">
        <v>13</v>
      </c>
      <c r="G37" s="90" t="s">
        <v>73</v>
      </c>
      <c r="H37" s="91">
        <f>CEILING(2120*USD,10)</f>
        <v>137040</v>
      </c>
      <c r="I37" s="92">
        <v>0.25</v>
      </c>
      <c r="J37" s="91">
        <f t="shared" si="1"/>
        <v>102780</v>
      </c>
    </row>
    <row r="38" spans="1:10" s="94" customFormat="1" ht="24.95" customHeight="1" x14ac:dyDescent="0.25">
      <c r="A38" s="119"/>
      <c r="B38" s="32" t="s">
        <v>44</v>
      </c>
      <c r="C38" s="96" t="s">
        <v>69</v>
      </c>
      <c r="D38" s="90" t="s">
        <v>56</v>
      </c>
      <c r="E38" s="90" t="s">
        <v>31</v>
      </c>
      <c r="F38" s="90" t="s">
        <v>13</v>
      </c>
      <c r="G38" s="90" t="s">
        <v>73</v>
      </c>
      <c r="H38" s="91">
        <f>CEILING(2240*USD,10)</f>
        <v>144800</v>
      </c>
      <c r="I38" s="92">
        <v>0.25</v>
      </c>
      <c r="J38" s="91">
        <f t="shared" si="1"/>
        <v>108600</v>
      </c>
    </row>
    <row r="39" spans="1:10" s="94" customFormat="1" ht="24.95" customHeight="1" x14ac:dyDescent="0.25">
      <c r="A39" s="119"/>
      <c r="B39" s="32" t="s">
        <v>45</v>
      </c>
      <c r="C39" s="96" t="s">
        <v>70</v>
      </c>
      <c r="D39" s="90" t="s">
        <v>56</v>
      </c>
      <c r="E39" s="90" t="s">
        <v>31</v>
      </c>
      <c r="F39" s="90" t="s">
        <v>13</v>
      </c>
      <c r="G39" s="90" t="s">
        <v>73</v>
      </c>
      <c r="H39" s="91">
        <f>CEILING(2400*USD,10)</f>
        <v>155140</v>
      </c>
      <c r="I39" s="92">
        <v>0.25</v>
      </c>
      <c r="J39" s="91">
        <f t="shared" si="1"/>
        <v>116360</v>
      </c>
    </row>
    <row r="40" spans="1:10" s="94" customFormat="1" ht="24.95" customHeight="1" x14ac:dyDescent="0.25">
      <c r="A40" s="119"/>
      <c r="B40" s="32" t="s">
        <v>46</v>
      </c>
      <c r="C40" s="96" t="s">
        <v>71</v>
      </c>
      <c r="D40" s="90" t="s">
        <v>56</v>
      </c>
      <c r="E40" s="90" t="s">
        <v>31</v>
      </c>
      <c r="F40" s="90" t="s">
        <v>13</v>
      </c>
      <c r="G40" s="90" t="s">
        <v>73</v>
      </c>
      <c r="H40" s="91">
        <f>CEILING(2980*USD,10)</f>
        <v>192630</v>
      </c>
      <c r="I40" s="92">
        <v>0.25</v>
      </c>
      <c r="J40" s="91">
        <f t="shared" si="1"/>
        <v>144480</v>
      </c>
    </row>
    <row r="41" spans="1:10" s="94" customFormat="1" ht="24.95" customHeight="1" x14ac:dyDescent="0.25">
      <c r="A41" s="119"/>
      <c r="B41" s="32" t="s">
        <v>47</v>
      </c>
      <c r="C41" s="96" t="s">
        <v>72</v>
      </c>
      <c r="D41" s="90" t="s">
        <v>57</v>
      </c>
      <c r="E41" s="90" t="s">
        <v>31</v>
      </c>
      <c r="F41" s="90" t="s">
        <v>13</v>
      </c>
      <c r="G41" s="90" t="s">
        <v>73</v>
      </c>
      <c r="H41" s="91">
        <f>CEILING(2180*USD,10)</f>
        <v>140920</v>
      </c>
      <c r="I41" s="92">
        <v>0.25</v>
      </c>
      <c r="J41" s="91">
        <f t="shared" si="1"/>
        <v>105690</v>
      </c>
    </row>
    <row r="42" spans="1:10" s="94" customFormat="1" ht="20.100000000000001" customHeight="1" x14ac:dyDescent="0.25">
      <c r="A42" s="120" t="s">
        <v>74</v>
      </c>
      <c r="B42" s="120"/>
      <c r="C42" s="120"/>
      <c r="D42" s="120"/>
      <c r="E42" s="120"/>
      <c r="F42" s="120"/>
      <c r="G42" s="120"/>
      <c r="H42" s="120"/>
      <c r="I42" s="120"/>
      <c r="J42" s="120"/>
    </row>
    <row r="43" spans="1:10" s="94" customFormat="1" ht="20.100000000000001" customHeight="1" x14ac:dyDescent="0.25">
      <c r="A43" s="121" t="s">
        <v>75</v>
      </c>
      <c r="B43" s="122"/>
      <c r="C43" s="122"/>
      <c r="D43" s="122"/>
      <c r="E43" s="122"/>
      <c r="F43" s="122"/>
      <c r="G43" s="123"/>
      <c r="H43" s="91">
        <f>CEILING(520*USD,10)</f>
        <v>33620</v>
      </c>
      <c r="I43" s="92">
        <v>0.1</v>
      </c>
      <c r="J43" s="91">
        <f>CEILING(H43*0.9,10)</f>
        <v>30260</v>
      </c>
    </row>
    <row r="44" spans="1:10" s="94" customFormat="1" ht="20.100000000000001" customHeight="1" x14ac:dyDescent="0.25">
      <c r="A44" s="121" t="s">
        <v>1174</v>
      </c>
      <c r="B44" s="122"/>
      <c r="C44" s="122"/>
      <c r="D44" s="122"/>
      <c r="E44" s="122"/>
      <c r="F44" s="122"/>
      <c r="G44" s="123"/>
      <c r="H44" s="91">
        <f>CEILING(100*USD,10)</f>
        <v>6470</v>
      </c>
      <c r="I44" s="92">
        <v>0.1</v>
      </c>
      <c r="J44" s="91">
        <f>CEILING(H44*0.9,10)</f>
        <v>5830</v>
      </c>
    </row>
    <row r="45" spans="1:10" s="94" customFormat="1" x14ac:dyDescent="0.25"/>
  </sheetData>
  <mergeCells count="14">
    <mergeCell ref="A1:J1"/>
    <mergeCell ref="A14:J14"/>
    <mergeCell ref="A16:A26"/>
    <mergeCell ref="A27:A36"/>
    <mergeCell ref="A9:J9"/>
    <mergeCell ref="A10:G10"/>
    <mergeCell ref="A11:G11"/>
    <mergeCell ref="A12:G12"/>
    <mergeCell ref="A13:J13"/>
    <mergeCell ref="A42:J42"/>
    <mergeCell ref="A43:G43"/>
    <mergeCell ref="A44:G44"/>
    <mergeCell ref="A37:A41"/>
    <mergeCell ref="A3:A8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16" r:id="rId7"/>
    <hyperlink ref="B17" r:id="rId8"/>
    <hyperlink ref="B18" r:id="rId9"/>
    <hyperlink ref="B19" r:id="rId10"/>
    <hyperlink ref="B20" r:id="rId11"/>
    <hyperlink ref="B21" r:id="rId12"/>
    <hyperlink ref="B22" r:id="rId13"/>
    <hyperlink ref="B23" r:id="rId14"/>
    <hyperlink ref="B24" r:id="rId15"/>
    <hyperlink ref="B25" r:id="rId16"/>
    <hyperlink ref="B26" r:id="rId17"/>
    <hyperlink ref="B27" r:id="rId18"/>
    <hyperlink ref="B28" r:id="rId19"/>
    <hyperlink ref="B29" r:id="rId20"/>
    <hyperlink ref="B30" r:id="rId21"/>
    <hyperlink ref="B31" r:id="rId22"/>
    <hyperlink ref="B32" r:id="rId23"/>
    <hyperlink ref="B33" r:id="rId24"/>
    <hyperlink ref="B34" r:id="rId25"/>
    <hyperlink ref="B35" r:id="rId26"/>
    <hyperlink ref="B36" r:id="rId27"/>
    <hyperlink ref="B37" r:id="rId28"/>
    <hyperlink ref="B38" r:id="rId29"/>
    <hyperlink ref="B39" r:id="rId30"/>
    <hyperlink ref="B40" r:id="rId31"/>
    <hyperlink ref="B41" r:id="rId32"/>
  </hyperlinks>
  <pageMargins left="0.7" right="0.7" top="0.75" bottom="0.75" header="0.3" footer="0.3"/>
  <drawing r:id="rId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203"/>
  <sheetViews>
    <sheetView topLeftCell="A205" zoomScale="90" zoomScaleNormal="90" workbookViewId="0">
      <selection activeCell="B47" sqref="B47"/>
    </sheetView>
  </sheetViews>
  <sheetFormatPr defaultRowHeight="13.5" x14ac:dyDescent="0.25"/>
  <cols>
    <col min="1" max="1" width="23.28515625" style="1" customWidth="1"/>
    <col min="2" max="2" width="15.7109375" style="1" customWidth="1"/>
    <col min="3" max="4" width="20.7109375" style="1" customWidth="1"/>
    <col min="5" max="5" width="18.85546875" style="1" customWidth="1"/>
    <col min="6" max="6" width="17.5703125" style="1" customWidth="1"/>
    <col min="7" max="7" width="15.42578125" style="1" customWidth="1"/>
    <col min="8" max="10" width="15.7109375" style="1" customWidth="1"/>
    <col min="11" max="11" width="9.140625" style="1" customWidth="1"/>
    <col min="12" max="16384" width="9.140625" style="1"/>
  </cols>
  <sheetData>
    <row r="1" spans="1:10" ht="60" customHeight="1" x14ac:dyDescent="0.25">
      <c r="A1" s="129" t="s">
        <v>1885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ht="30" customHeight="1" x14ac:dyDescent="0.25">
      <c r="A2" s="34"/>
      <c r="B2" s="39" t="s">
        <v>2</v>
      </c>
      <c r="C2" s="4" t="s">
        <v>48</v>
      </c>
      <c r="D2" s="4" t="s">
        <v>49</v>
      </c>
      <c r="E2" s="35" t="s">
        <v>9</v>
      </c>
      <c r="F2" s="35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30" customHeight="1" x14ac:dyDescent="0.25">
      <c r="A3" s="124"/>
      <c r="B3" s="105" t="s">
        <v>1108</v>
      </c>
      <c r="C3" s="34" t="s">
        <v>1112</v>
      </c>
      <c r="D3" s="34" t="s">
        <v>77</v>
      </c>
      <c r="E3" s="60" t="s">
        <v>14</v>
      </c>
      <c r="F3" s="34" t="s">
        <v>15</v>
      </c>
      <c r="G3" s="34" t="s">
        <v>78</v>
      </c>
      <c r="H3" s="7">
        <f>CEILING((PRODUCT(4321,USD)),10)</f>
        <v>279310</v>
      </c>
      <c r="I3" s="8">
        <v>0.3</v>
      </c>
      <c r="J3" s="9">
        <f>CEILING(H3*0.7,10)</f>
        <v>195520</v>
      </c>
    </row>
    <row r="4" spans="1:10" ht="30" customHeight="1" x14ac:dyDescent="0.25">
      <c r="A4" s="124"/>
      <c r="B4" s="105" t="s">
        <v>1109</v>
      </c>
      <c r="C4" s="34" t="s">
        <v>51</v>
      </c>
      <c r="D4" s="34" t="s">
        <v>397</v>
      </c>
      <c r="E4" s="34" t="s">
        <v>14</v>
      </c>
      <c r="F4" s="34" t="s">
        <v>15</v>
      </c>
      <c r="G4" s="34" t="s">
        <v>78</v>
      </c>
      <c r="H4" s="7">
        <f>CEILING((PRODUCT(5739,USD)),10)</f>
        <v>370970</v>
      </c>
      <c r="I4" s="8">
        <v>0.3</v>
      </c>
      <c r="J4" s="9">
        <f>CEILING(H4*0.7,10)</f>
        <v>259680</v>
      </c>
    </row>
    <row r="5" spans="1:10" ht="30" customHeight="1" x14ac:dyDescent="0.25">
      <c r="A5" s="124"/>
      <c r="B5" s="105" t="s">
        <v>1110</v>
      </c>
      <c r="C5" s="34" t="s">
        <v>1600</v>
      </c>
      <c r="D5" s="34" t="s">
        <v>77</v>
      </c>
      <c r="E5" s="34" t="s">
        <v>14</v>
      </c>
      <c r="F5" s="34" t="s">
        <v>15</v>
      </c>
      <c r="G5" s="34" t="s">
        <v>78</v>
      </c>
      <c r="H5" s="7">
        <f>CEILING((PRODUCT(5582,USD)),10)</f>
        <v>360830</v>
      </c>
      <c r="I5" s="8">
        <v>0.3</v>
      </c>
      <c r="J5" s="9">
        <f>CEILING(H5*0.7,10)</f>
        <v>252590</v>
      </c>
    </row>
    <row r="6" spans="1:10" ht="30" customHeight="1" x14ac:dyDescent="0.25">
      <c r="A6" s="124"/>
      <c r="B6" s="105" t="s">
        <v>1111</v>
      </c>
      <c r="C6" s="34" t="s">
        <v>1600</v>
      </c>
      <c r="D6" s="34" t="s">
        <v>77</v>
      </c>
      <c r="E6" s="60" t="s">
        <v>14</v>
      </c>
      <c r="F6" s="34" t="s">
        <v>15</v>
      </c>
      <c r="G6" s="34" t="s">
        <v>78</v>
      </c>
      <c r="H6" s="7">
        <f>CEILING((PRODUCT(7561,USD)),10)</f>
        <v>488750</v>
      </c>
      <c r="I6" s="8">
        <v>0.3</v>
      </c>
      <c r="J6" s="9">
        <f>CEILING(H6*0.7,10)</f>
        <v>342130</v>
      </c>
    </row>
    <row r="7" spans="1:10" ht="30" customHeight="1" x14ac:dyDescent="0.25">
      <c r="A7" s="124"/>
      <c r="B7" s="105" t="s">
        <v>1601</v>
      </c>
      <c r="C7" s="34" t="s">
        <v>52</v>
      </c>
      <c r="D7" s="34" t="s">
        <v>397</v>
      </c>
      <c r="E7" s="60" t="s">
        <v>14</v>
      </c>
      <c r="F7" s="34" t="s">
        <v>15</v>
      </c>
      <c r="G7" s="34" t="s">
        <v>78</v>
      </c>
      <c r="H7" s="7">
        <f>CEILING((PRODUCT(8173,USD)),10)</f>
        <v>528310</v>
      </c>
      <c r="I7" s="8">
        <v>0.3</v>
      </c>
      <c r="J7" s="9">
        <f>CEILING(H7*0.7,10)</f>
        <v>369820</v>
      </c>
    </row>
    <row r="8" spans="1:10" ht="20.100000000000001" customHeight="1" x14ac:dyDescent="0.25">
      <c r="A8" s="131"/>
      <c r="B8" s="131"/>
      <c r="C8" s="131"/>
      <c r="D8" s="131"/>
      <c r="E8" s="131"/>
      <c r="F8" s="131"/>
      <c r="G8" s="131"/>
      <c r="H8" s="131"/>
      <c r="I8" s="131"/>
      <c r="J8" s="131"/>
    </row>
    <row r="9" spans="1:10" ht="39.950000000000003" customHeight="1" x14ac:dyDescent="0.25">
      <c r="A9" s="129" t="s">
        <v>1886</v>
      </c>
      <c r="B9" s="130"/>
      <c r="C9" s="130"/>
      <c r="D9" s="130"/>
      <c r="E9" s="130"/>
      <c r="F9" s="130"/>
      <c r="G9" s="130"/>
      <c r="H9" s="130"/>
      <c r="I9" s="130"/>
      <c r="J9" s="130"/>
    </row>
    <row r="10" spans="1:10" ht="30" customHeight="1" x14ac:dyDescent="0.25">
      <c r="A10" s="86"/>
      <c r="B10" s="39" t="s">
        <v>2</v>
      </c>
      <c r="C10" s="4" t="s">
        <v>48</v>
      </c>
      <c r="D10" s="4" t="s">
        <v>49</v>
      </c>
      <c r="E10" s="39" t="s">
        <v>9</v>
      </c>
      <c r="F10" s="39" t="s">
        <v>10</v>
      </c>
      <c r="G10" s="4" t="s">
        <v>11</v>
      </c>
      <c r="H10" s="4" t="s">
        <v>17</v>
      </c>
      <c r="I10" s="4" t="s">
        <v>12</v>
      </c>
      <c r="J10" s="4" t="s">
        <v>18</v>
      </c>
    </row>
    <row r="11" spans="1:10" ht="21" customHeight="1" x14ac:dyDescent="0.25">
      <c r="A11" s="132"/>
      <c r="B11" s="75" t="s">
        <v>647</v>
      </c>
      <c r="C11" s="86" t="s">
        <v>51</v>
      </c>
      <c r="D11" s="86" t="s">
        <v>53</v>
      </c>
      <c r="E11" s="86" t="s">
        <v>14</v>
      </c>
      <c r="F11" s="86" t="s">
        <v>15</v>
      </c>
      <c r="G11" s="86" t="s">
        <v>16</v>
      </c>
      <c r="H11" s="7">
        <f>CEILING((PRODUCT(3252,USD)),10)</f>
        <v>210210</v>
      </c>
      <c r="I11" s="8">
        <v>0.3</v>
      </c>
      <c r="J11" s="9">
        <f t="shared" ref="J11:J16" si="0">CEILING(H11*0.7,10)</f>
        <v>147150</v>
      </c>
    </row>
    <row r="12" spans="1:10" ht="21" customHeight="1" x14ac:dyDescent="0.25">
      <c r="A12" s="133"/>
      <c r="B12" s="75" t="s">
        <v>648</v>
      </c>
      <c r="C12" s="86" t="s">
        <v>51</v>
      </c>
      <c r="D12" s="86" t="s">
        <v>53</v>
      </c>
      <c r="E12" s="86" t="s">
        <v>14</v>
      </c>
      <c r="F12" s="86" t="s">
        <v>15</v>
      </c>
      <c r="G12" s="86" t="s">
        <v>16</v>
      </c>
      <c r="H12" s="7">
        <f>CEILING((PRODUCT(3267,USD)),10)</f>
        <v>211180</v>
      </c>
      <c r="I12" s="8">
        <v>0.3</v>
      </c>
      <c r="J12" s="9">
        <f t="shared" si="0"/>
        <v>147830</v>
      </c>
    </row>
    <row r="13" spans="1:10" ht="21" customHeight="1" x14ac:dyDescent="0.25">
      <c r="A13" s="133"/>
      <c r="B13" s="75" t="s">
        <v>649</v>
      </c>
      <c r="C13" s="86" t="s">
        <v>52</v>
      </c>
      <c r="D13" s="86" t="s">
        <v>53</v>
      </c>
      <c r="E13" s="86" t="s">
        <v>14</v>
      </c>
      <c r="F13" s="86" t="s">
        <v>15</v>
      </c>
      <c r="G13" s="86" t="s">
        <v>16</v>
      </c>
      <c r="H13" s="7">
        <f>CEILING((PRODUCT(3599,USD)),10)</f>
        <v>232640</v>
      </c>
      <c r="I13" s="8">
        <v>0.3</v>
      </c>
      <c r="J13" s="9">
        <f t="shared" si="0"/>
        <v>162850</v>
      </c>
    </row>
    <row r="14" spans="1:10" ht="21" customHeight="1" x14ac:dyDescent="0.25">
      <c r="A14" s="133"/>
      <c r="B14" s="75" t="s">
        <v>650</v>
      </c>
      <c r="C14" s="86" t="s">
        <v>52</v>
      </c>
      <c r="D14" s="86" t="s">
        <v>53</v>
      </c>
      <c r="E14" s="86" t="s">
        <v>14</v>
      </c>
      <c r="F14" s="86" t="s">
        <v>15</v>
      </c>
      <c r="G14" s="86" t="s">
        <v>16</v>
      </c>
      <c r="H14" s="7">
        <f>CEILING((PRODUCT(3626,USD)),10)</f>
        <v>234390</v>
      </c>
      <c r="I14" s="8">
        <v>0.3</v>
      </c>
      <c r="J14" s="9">
        <f t="shared" si="0"/>
        <v>164080</v>
      </c>
    </row>
    <row r="15" spans="1:10" ht="21" customHeight="1" x14ac:dyDescent="0.25">
      <c r="A15" s="133"/>
      <c r="B15" s="75" t="s">
        <v>651</v>
      </c>
      <c r="C15" s="86" t="s">
        <v>58</v>
      </c>
      <c r="D15" s="86" t="s">
        <v>53</v>
      </c>
      <c r="E15" s="86" t="s">
        <v>14</v>
      </c>
      <c r="F15" s="86" t="s">
        <v>15</v>
      </c>
      <c r="G15" s="86" t="s">
        <v>16</v>
      </c>
      <c r="H15" s="7">
        <f>CEILING((PRODUCT(3946,USD)),10)</f>
        <v>255070</v>
      </c>
      <c r="I15" s="8">
        <v>0.3</v>
      </c>
      <c r="J15" s="9">
        <f t="shared" si="0"/>
        <v>178550</v>
      </c>
    </row>
    <row r="16" spans="1:10" ht="21" customHeight="1" x14ac:dyDescent="0.25">
      <c r="A16" s="134"/>
      <c r="B16" s="75" t="s">
        <v>652</v>
      </c>
      <c r="C16" s="86" t="s">
        <v>58</v>
      </c>
      <c r="D16" s="86" t="s">
        <v>53</v>
      </c>
      <c r="E16" s="86" t="s">
        <v>14</v>
      </c>
      <c r="F16" s="86" t="s">
        <v>15</v>
      </c>
      <c r="G16" s="86" t="s">
        <v>16</v>
      </c>
      <c r="H16" s="7">
        <f>CEILING((PRODUCT(3973,USD)),10)</f>
        <v>256820</v>
      </c>
      <c r="I16" s="8">
        <v>0.3</v>
      </c>
      <c r="J16" s="9">
        <f t="shared" si="0"/>
        <v>179780</v>
      </c>
    </row>
    <row r="17" spans="1:10" ht="20.100000000000001" customHeight="1" x14ac:dyDescent="0.25">
      <c r="A17" s="131"/>
      <c r="B17" s="131"/>
      <c r="C17" s="131"/>
      <c r="D17" s="131"/>
      <c r="E17" s="131"/>
      <c r="F17" s="131"/>
      <c r="G17" s="131"/>
      <c r="H17" s="131"/>
      <c r="I17" s="131"/>
      <c r="J17" s="131"/>
    </row>
    <row r="18" spans="1:10" ht="39.950000000000003" customHeight="1" x14ac:dyDescent="0.25">
      <c r="A18" s="129" t="s">
        <v>1884</v>
      </c>
      <c r="B18" s="130"/>
      <c r="C18" s="130"/>
      <c r="D18" s="130"/>
      <c r="E18" s="130"/>
      <c r="F18" s="130"/>
      <c r="G18" s="130"/>
      <c r="H18" s="130"/>
      <c r="I18" s="130"/>
      <c r="J18" s="130"/>
    </row>
    <row r="19" spans="1:10" ht="30" customHeight="1" x14ac:dyDescent="0.25">
      <c r="A19" s="86"/>
      <c r="B19" s="39" t="s">
        <v>2</v>
      </c>
      <c r="C19" s="4" t="s">
        <v>48</v>
      </c>
      <c r="D19" s="4" t="s">
        <v>49</v>
      </c>
      <c r="E19" s="39" t="s">
        <v>9</v>
      </c>
      <c r="F19" s="39" t="s">
        <v>10</v>
      </c>
      <c r="G19" s="4" t="s">
        <v>11</v>
      </c>
      <c r="H19" s="4" t="s">
        <v>17</v>
      </c>
      <c r="I19" s="4" t="s">
        <v>12</v>
      </c>
      <c r="J19" s="4" t="s">
        <v>18</v>
      </c>
    </row>
    <row r="20" spans="1:10" ht="24.95" customHeight="1" x14ac:dyDescent="0.25">
      <c r="A20" s="124"/>
      <c r="B20" s="75" t="s">
        <v>653</v>
      </c>
      <c r="C20" s="86" t="s">
        <v>52</v>
      </c>
      <c r="D20" s="86" t="s">
        <v>54</v>
      </c>
      <c r="E20" s="86" t="s">
        <v>31</v>
      </c>
      <c r="F20" s="86" t="s">
        <v>15</v>
      </c>
      <c r="G20" s="15" t="s">
        <v>433</v>
      </c>
      <c r="H20" s="7">
        <f>CEILING((PRODUCT(2974,USD)),10)</f>
        <v>192240</v>
      </c>
      <c r="I20" s="8">
        <v>0.3</v>
      </c>
      <c r="J20" s="9">
        <f>CEILING(H20*0.7,10)</f>
        <v>134570</v>
      </c>
    </row>
    <row r="21" spans="1:10" ht="24.95" customHeight="1" x14ac:dyDescent="0.25">
      <c r="A21" s="124"/>
      <c r="B21" s="75" t="s">
        <v>654</v>
      </c>
      <c r="C21" s="86" t="s">
        <v>59</v>
      </c>
      <c r="D21" s="86" t="s">
        <v>54</v>
      </c>
      <c r="E21" s="86" t="s">
        <v>31</v>
      </c>
      <c r="F21" s="86" t="s">
        <v>15</v>
      </c>
      <c r="G21" s="15" t="s">
        <v>433</v>
      </c>
      <c r="H21" s="7">
        <f>CEILING((PRODUCT(3113,USD)),10)</f>
        <v>201230</v>
      </c>
      <c r="I21" s="8">
        <v>0.3</v>
      </c>
      <c r="J21" s="9">
        <f t="shared" ref="J21:J33" si="1">CEILING(H21*0.7,10)</f>
        <v>140870</v>
      </c>
    </row>
    <row r="22" spans="1:10" ht="24.95" customHeight="1" x14ac:dyDescent="0.25">
      <c r="A22" s="124"/>
      <c r="B22" s="75" t="s">
        <v>655</v>
      </c>
      <c r="C22" s="86" t="s">
        <v>103</v>
      </c>
      <c r="D22" s="86" t="s">
        <v>54</v>
      </c>
      <c r="E22" s="86" t="s">
        <v>31</v>
      </c>
      <c r="F22" s="86" t="s">
        <v>15</v>
      </c>
      <c r="G22" s="15" t="s">
        <v>433</v>
      </c>
      <c r="H22" s="7">
        <f>CEILING((PRODUCT(3460,USD)),10)</f>
        <v>223660</v>
      </c>
      <c r="I22" s="8">
        <v>0.3</v>
      </c>
      <c r="J22" s="9">
        <f t="shared" si="1"/>
        <v>156570</v>
      </c>
    </row>
    <row r="23" spans="1:10" ht="24.95" customHeight="1" x14ac:dyDescent="0.25">
      <c r="A23" s="124"/>
      <c r="B23" s="75" t="s">
        <v>656</v>
      </c>
      <c r="C23" s="86" t="s">
        <v>216</v>
      </c>
      <c r="D23" s="86" t="s">
        <v>54</v>
      </c>
      <c r="E23" s="86" t="s">
        <v>14</v>
      </c>
      <c r="F23" s="86" t="s">
        <v>15</v>
      </c>
      <c r="G23" s="15" t="s">
        <v>433</v>
      </c>
      <c r="H23" s="7">
        <f>CEILING((PRODUCT(4368,USD)),10)</f>
        <v>282350</v>
      </c>
      <c r="I23" s="8">
        <v>0.3</v>
      </c>
      <c r="J23" s="9">
        <f t="shared" si="1"/>
        <v>197650</v>
      </c>
    </row>
    <row r="24" spans="1:10" ht="24.95" customHeight="1" x14ac:dyDescent="0.25">
      <c r="A24" s="124"/>
      <c r="B24" s="75" t="s">
        <v>657</v>
      </c>
      <c r="C24" s="86" t="s">
        <v>64</v>
      </c>
      <c r="D24" s="86" t="s">
        <v>55</v>
      </c>
      <c r="E24" s="86" t="s">
        <v>31</v>
      </c>
      <c r="F24" s="86" t="s">
        <v>15</v>
      </c>
      <c r="G24" s="15" t="s">
        <v>664</v>
      </c>
      <c r="H24" s="7">
        <f>CEILING((PRODUCT(3107,USD)),10)</f>
        <v>200840</v>
      </c>
      <c r="I24" s="8">
        <v>0.3</v>
      </c>
      <c r="J24" s="9">
        <f t="shared" si="1"/>
        <v>140590</v>
      </c>
    </row>
    <row r="25" spans="1:10" ht="24.95" customHeight="1" x14ac:dyDescent="0.25">
      <c r="A25" s="124"/>
      <c r="B25" s="75" t="s">
        <v>658</v>
      </c>
      <c r="C25" s="86" t="s">
        <v>106</v>
      </c>
      <c r="D25" s="86" t="s">
        <v>55</v>
      </c>
      <c r="E25" s="86" t="s">
        <v>31</v>
      </c>
      <c r="F25" s="86" t="s">
        <v>15</v>
      </c>
      <c r="G25" s="15" t="s">
        <v>664</v>
      </c>
      <c r="H25" s="7">
        <f>CEILING((PRODUCT(3460,USD)),10)</f>
        <v>223660</v>
      </c>
      <c r="I25" s="8">
        <v>0.3</v>
      </c>
      <c r="J25" s="9">
        <f t="shared" si="1"/>
        <v>156570</v>
      </c>
    </row>
    <row r="26" spans="1:10" ht="24.95" customHeight="1" x14ac:dyDescent="0.25">
      <c r="A26" s="124"/>
      <c r="B26" s="75" t="s">
        <v>659</v>
      </c>
      <c r="C26" s="86" t="s">
        <v>107</v>
      </c>
      <c r="D26" s="86" t="s">
        <v>55</v>
      </c>
      <c r="E26" s="86" t="s">
        <v>31</v>
      </c>
      <c r="F26" s="86" t="s">
        <v>15</v>
      </c>
      <c r="G26" s="15" t="s">
        <v>664</v>
      </c>
      <c r="H26" s="7">
        <f>CEILING((PRODUCT(3768,USD)),10)</f>
        <v>243570</v>
      </c>
      <c r="I26" s="8">
        <v>0.3</v>
      </c>
      <c r="J26" s="9">
        <f t="shared" si="1"/>
        <v>170500</v>
      </c>
    </row>
    <row r="27" spans="1:10" ht="24.95" customHeight="1" x14ac:dyDescent="0.25">
      <c r="A27" s="124"/>
      <c r="B27" s="75" t="s">
        <v>660</v>
      </c>
      <c r="C27" s="86" t="s">
        <v>107</v>
      </c>
      <c r="D27" s="86" t="s">
        <v>56</v>
      </c>
      <c r="E27" s="86" t="s">
        <v>31</v>
      </c>
      <c r="F27" s="86" t="s">
        <v>15</v>
      </c>
      <c r="G27" s="15" t="s">
        <v>664</v>
      </c>
      <c r="H27" s="7">
        <f>CEILING((PRODUCT(3009,USD)),10)</f>
        <v>194510</v>
      </c>
      <c r="I27" s="8">
        <v>0.3</v>
      </c>
      <c r="J27" s="9">
        <f t="shared" si="1"/>
        <v>136160</v>
      </c>
    </row>
    <row r="28" spans="1:10" ht="24.95" customHeight="1" x14ac:dyDescent="0.25">
      <c r="A28" s="124"/>
      <c r="B28" s="75" t="s">
        <v>661</v>
      </c>
      <c r="C28" s="86" t="s">
        <v>663</v>
      </c>
      <c r="D28" s="86" t="s">
        <v>55</v>
      </c>
      <c r="E28" s="86" t="s">
        <v>14</v>
      </c>
      <c r="F28" s="86" t="s">
        <v>15</v>
      </c>
      <c r="G28" s="15" t="s">
        <v>664</v>
      </c>
      <c r="H28" s="7">
        <f>CEILING((PRODUCT(3796,USD)),10)</f>
        <v>245380</v>
      </c>
      <c r="I28" s="8">
        <v>0.3</v>
      </c>
      <c r="J28" s="9">
        <f t="shared" si="1"/>
        <v>171770</v>
      </c>
    </row>
    <row r="29" spans="1:10" ht="24.95" customHeight="1" x14ac:dyDescent="0.25">
      <c r="A29" s="124"/>
      <c r="B29" s="75" t="s">
        <v>662</v>
      </c>
      <c r="C29" s="86" t="s">
        <v>663</v>
      </c>
      <c r="D29" s="86" t="s">
        <v>56</v>
      </c>
      <c r="E29" s="86" t="s">
        <v>14</v>
      </c>
      <c r="F29" s="86" t="s">
        <v>15</v>
      </c>
      <c r="G29" s="15" t="s">
        <v>664</v>
      </c>
      <c r="H29" s="7">
        <f>CEILING((PRODUCT(3495,USD)),10)</f>
        <v>225920</v>
      </c>
      <c r="I29" s="8">
        <v>0.3</v>
      </c>
      <c r="J29" s="9">
        <f t="shared" si="1"/>
        <v>158150</v>
      </c>
    </row>
    <row r="30" spans="1:10" ht="24.95" customHeight="1" x14ac:dyDescent="0.25">
      <c r="A30" s="124"/>
      <c r="B30" s="75" t="s">
        <v>1384</v>
      </c>
      <c r="C30" s="86" t="s">
        <v>109</v>
      </c>
      <c r="D30" s="86" t="s">
        <v>56</v>
      </c>
      <c r="E30" s="86" t="s">
        <v>31</v>
      </c>
      <c r="F30" s="86" t="s">
        <v>15</v>
      </c>
      <c r="G30" s="15" t="s">
        <v>1387</v>
      </c>
      <c r="H30" s="7">
        <f>CEILING((PRODUCT(4661,USD)),10)</f>
        <v>301290</v>
      </c>
      <c r="I30" s="8">
        <v>0.3</v>
      </c>
      <c r="J30" s="9">
        <f t="shared" si="1"/>
        <v>210910</v>
      </c>
    </row>
    <row r="31" spans="1:10" ht="24.95" customHeight="1" x14ac:dyDescent="0.25">
      <c r="A31" s="124"/>
      <c r="B31" s="75" t="s">
        <v>1385</v>
      </c>
      <c r="C31" s="86" t="s">
        <v>310</v>
      </c>
      <c r="D31" s="86" t="s">
        <v>56</v>
      </c>
      <c r="E31" s="86" t="s">
        <v>31</v>
      </c>
      <c r="F31" s="86" t="s">
        <v>15</v>
      </c>
      <c r="G31" s="15" t="s">
        <v>1387</v>
      </c>
      <c r="H31" s="7">
        <f>CEILING((PRODUCT(4815,USD)),10)</f>
        <v>311250</v>
      </c>
      <c r="I31" s="8">
        <v>0.3</v>
      </c>
      <c r="J31" s="9">
        <f t="shared" si="1"/>
        <v>217880</v>
      </c>
    </row>
    <row r="32" spans="1:10" ht="24.95" customHeight="1" x14ac:dyDescent="0.25">
      <c r="A32" s="124"/>
      <c r="B32" s="75" t="s">
        <v>1386</v>
      </c>
      <c r="C32" s="86" t="s">
        <v>726</v>
      </c>
      <c r="D32" s="86" t="s">
        <v>56</v>
      </c>
      <c r="E32" s="86" t="s">
        <v>31</v>
      </c>
      <c r="F32" s="86" t="s">
        <v>15</v>
      </c>
      <c r="G32" s="15" t="s">
        <v>1387</v>
      </c>
      <c r="H32" s="7">
        <f>CEILING((PRODUCT(4967,USD)),10)</f>
        <v>321070</v>
      </c>
      <c r="I32" s="8">
        <v>0.3</v>
      </c>
      <c r="J32" s="9">
        <f>CEILING(H32*0.7,10)</f>
        <v>224750</v>
      </c>
    </row>
    <row r="33" spans="1:10" ht="24.95" customHeight="1" x14ac:dyDescent="0.25">
      <c r="A33" s="124"/>
      <c r="B33" s="75" t="s">
        <v>1829</v>
      </c>
      <c r="C33" s="86" t="s">
        <v>1830</v>
      </c>
      <c r="D33" s="86" t="s">
        <v>56</v>
      </c>
      <c r="E33" s="86" t="s">
        <v>31</v>
      </c>
      <c r="F33" s="86" t="s">
        <v>15</v>
      </c>
      <c r="G33" s="15" t="s">
        <v>1387</v>
      </c>
      <c r="H33" s="7">
        <f>CEILING((PRODUCT(4967,USD)),10)</f>
        <v>321070</v>
      </c>
      <c r="I33" s="8">
        <v>0.3</v>
      </c>
      <c r="J33" s="9">
        <f t="shared" si="1"/>
        <v>224750</v>
      </c>
    </row>
    <row r="34" spans="1:10" ht="20.100000000000001" customHeight="1" x14ac:dyDescent="0.25">
      <c r="A34" s="131"/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ht="39.950000000000003" customHeight="1" x14ac:dyDescent="0.25">
      <c r="A35" s="129" t="s">
        <v>1887</v>
      </c>
      <c r="B35" s="130"/>
      <c r="C35" s="130"/>
      <c r="D35" s="130"/>
      <c r="E35" s="130"/>
      <c r="F35" s="130"/>
      <c r="G35" s="130"/>
      <c r="H35" s="130"/>
      <c r="I35" s="130"/>
      <c r="J35" s="130"/>
    </row>
    <row r="36" spans="1:10" ht="30" customHeight="1" x14ac:dyDescent="0.25">
      <c r="A36" s="86"/>
      <c r="B36" s="39" t="s">
        <v>2</v>
      </c>
      <c r="C36" s="4" t="s">
        <v>48</v>
      </c>
      <c r="D36" s="4" t="s">
        <v>49</v>
      </c>
      <c r="E36" s="39" t="s">
        <v>9</v>
      </c>
      <c r="F36" s="39" t="s">
        <v>10</v>
      </c>
      <c r="G36" s="4" t="s">
        <v>11</v>
      </c>
      <c r="H36" s="4" t="s">
        <v>17</v>
      </c>
      <c r="I36" s="4" t="s">
        <v>12</v>
      </c>
      <c r="J36" s="4" t="s">
        <v>18</v>
      </c>
    </row>
    <row r="37" spans="1:10" ht="39.950000000000003" customHeight="1" x14ac:dyDescent="0.25">
      <c r="A37" s="132"/>
      <c r="B37" s="75" t="s">
        <v>1821</v>
      </c>
      <c r="C37" s="86" t="s">
        <v>1799</v>
      </c>
      <c r="D37" s="86" t="s">
        <v>397</v>
      </c>
      <c r="E37" s="86" t="s">
        <v>14</v>
      </c>
      <c r="F37" s="86" t="s">
        <v>15</v>
      </c>
      <c r="G37" s="86" t="s">
        <v>78</v>
      </c>
      <c r="H37" s="7">
        <f>CEILING((PRODUCT(3533,USD)),10)</f>
        <v>228380</v>
      </c>
      <c r="I37" s="8">
        <v>0.3</v>
      </c>
      <c r="J37" s="9">
        <f>CEILING(H37*0.7,10)</f>
        <v>159870</v>
      </c>
    </row>
    <row r="38" spans="1:10" ht="39.950000000000003" customHeight="1" x14ac:dyDescent="0.25">
      <c r="A38" s="133"/>
      <c r="B38" s="75" t="s">
        <v>1822</v>
      </c>
      <c r="C38" s="86" t="s">
        <v>1112</v>
      </c>
      <c r="D38" s="86" t="s">
        <v>77</v>
      </c>
      <c r="E38" s="86" t="s">
        <v>14</v>
      </c>
      <c r="F38" s="86" t="s">
        <v>15</v>
      </c>
      <c r="G38" s="86" t="s">
        <v>78</v>
      </c>
      <c r="H38" s="7">
        <f>CEILING((PRODUCT(3210,USD)),10)</f>
        <v>207500</v>
      </c>
      <c r="I38" s="8">
        <v>0.3</v>
      </c>
      <c r="J38" s="9">
        <f>CEILING(H38*0.7,10)</f>
        <v>145250</v>
      </c>
    </row>
    <row r="39" spans="1:10" ht="39.950000000000003" customHeight="1" x14ac:dyDescent="0.25">
      <c r="A39" s="133"/>
      <c r="B39" s="75" t="s">
        <v>1823</v>
      </c>
      <c r="C39" s="86" t="s">
        <v>682</v>
      </c>
      <c r="D39" s="86" t="s">
        <v>77</v>
      </c>
      <c r="E39" s="86" t="s">
        <v>14</v>
      </c>
      <c r="F39" s="86" t="s">
        <v>15</v>
      </c>
      <c r="G39" s="86" t="s">
        <v>78</v>
      </c>
      <c r="H39" s="7">
        <f>CEILING((PRODUCT(4180,USD)),10)</f>
        <v>270200</v>
      </c>
      <c r="I39" s="8">
        <v>0.3</v>
      </c>
      <c r="J39" s="9">
        <f>CEILING(H39*0.7,10)</f>
        <v>189140</v>
      </c>
    </row>
    <row r="40" spans="1:10" ht="20.100000000000001" customHeight="1" x14ac:dyDescent="0.25">
      <c r="A40" s="131"/>
      <c r="B40" s="131"/>
      <c r="C40" s="131"/>
      <c r="D40" s="131"/>
      <c r="E40" s="131"/>
      <c r="F40" s="131"/>
      <c r="G40" s="131"/>
      <c r="H40" s="131"/>
      <c r="I40" s="131"/>
      <c r="J40" s="131"/>
    </row>
    <row r="41" spans="1:10" ht="39.950000000000003" customHeight="1" x14ac:dyDescent="0.25">
      <c r="A41" s="129" t="s">
        <v>1888</v>
      </c>
      <c r="B41" s="130"/>
      <c r="C41" s="130"/>
      <c r="D41" s="130"/>
      <c r="E41" s="130"/>
      <c r="F41" s="130"/>
      <c r="G41" s="130"/>
      <c r="H41" s="130"/>
      <c r="I41" s="130"/>
      <c r="J41" s="130"/>
    </row>
    <row r="42" spans="1:10" ht="30" customHeight="1" x14ac:dyDescent="0.25">
      <c r="A42" s="86"/>
      <c r="B42" s="39" t="s">
        <v>2</v>
      </c>
      <c r="C42" s="4" t="s">
        <v>48</v>
      </c>
      <c r="D42" s="4" t="s">
        <v>49</v>
      </c>
      <c r="E42" s="39" t="s">
        <v>9</v>
      </c>
      <c r="F42" s="39" t="s">
        <v>10</v>
      </c>
      <c r="G42" s="4" t="s">
        <v>11</v>
      </c>
      <c r="H42" s="4" t="s">
        <v>17</v>
      </c>
      <c r="I42" s="4" t="s">
        <v>12</v>
      </c>
      <c r="J42" s="4" t="s">
        <v>18</v>
      </c>
    </row>
    <row r="43" spans="1:10" ht="21" customHeight="1" x14ac:dyDescent="0.25">
      <c r="A43" s="132"/>
      <c r="B43" s="75" t="s">
        <v>1824</v>
      </c>
      <c r="C43" s="86" t="s">
        <v>1799</v>
      </c>
      <c r="D43" s="86" t="s">
        <v>53</v>
      </c>
      <c r="E43" s="86" t="s">
        <v>14</v>
      </c>
      <c r="F43" s="86" t="s">
        <v>13</v>
      </c>
      <c r="G43" s="86" t="s">
        <v>16</v>
      </c>
      <c r="H43" s="7">
        <f>CEILING((PRODUCT(1334,USD)),10)</f>
        <v>86230</v>
      </c>
      <c r="I43" s="8">
        <v>0.3</v>
      </c>
      <c r="J43" s="9">
        <f t="shared" ref="J43:J48" si="2">CEILING(H43*0.7,10)</f>
        <v>60370</v>
      </c>
    </row>
    <row r="44" spans="1:10" ht="21" customHeight="1" x14ac:dyDescent="0.25">
      <c r="A44" s="133"/>
      <c r="B44" s="75" t="s">
        <v>1820</v>
      </c>
      <c r="C44" s="86" t="s">
        <v>1799</v>
      </c>
      <c r="D44" s="86" t="s">
        <v>53</v>
      </c>
      <c r="E44" s="86" t="s">
        <v>14</v>
      </c>
      <c r="F44" s="86" t="s">
        <v>15</v>
      </c>
      <c r="G44" s="86" t="s">
        <v>16</v>
      </c>
      <c r="H44" s="7">
        <f>CEILING((PRODUCT(1593,USD)),10)</f>
        <v>102980</v>
      </c>
      <c r="I44" s="8">
        <v>0.3</v>
      </c>
      <c r="J44" s="9">
        <f t="shared" si="2"/>
        <v>72090</v>
      </c>
    </row>
    <row r="45" spans="1:10" ht="21" customHeight="1" x14ac:dyDescent="0.25">
      <c r="A45" s="133"/>
      <c r="B45" s="75" t="s">
        <v>1825</v>
      </c>
      <c r="C45" s="86" t="s">
        <v>51</v>
      </c>
      <c r="D45" s="86" t="s">
        <v>53</v>
      </c>
      <c r="E45" s="86" t="s">
        <v>14</v>
      </c>
      <c r="F45" s="86" t="s">
        <v>13</v>
      </c>
      <c r="G45" s="86" t="s">
        <v>16</v>
      </c>
      <c r="H45" s="7">
        <f>CEILING((PRODUCT(1375,USD)),10)</f>
        <v>88880</v>
      </c>
      <c r="I45" s="8">
        <v>0.3</v>
      </c>
      <c r="J45" s="9">
        <f t="shared" si="2"/>
        <v>62220</v>
      </c>
    </row>
    <row r="46" spans="1:10" ht="21" customHeight="1" x14ac:dyDescent="0.25">
      <c r="A46" s="133"/>
      <c r="B46" s="75" t="s">
        <v>1826</v>
      </c>
      <c r="C46" s="86" t="s">
        <v>51</v>
      </c>
      <c r="D46" s="86" t="s">
        <v>53</v>
      </c>
      <c r="E46" s="86" t="s">
        <v>14</v>
      </c>
      <c r="F46" s="86" t="s">
        <v>15</v>
      </c>
      <c r="G46" s="86" t="s">
        <v>16</v>
      </c>
      <c r="H46" s="7">
        <f>CEILING((PRODUCT(1600,USD)),10)</f>
        <v>103430</v>
      </c>
      <c r="I46" s="8">
        <v>0.3</v>
      </c>
      <c r="J46" s="9">
        <f t="shared" si="2"/>
        <v>72410</v>
      </c>
    </row>
    <row r="47" spans="1:10" ht="21" customHeight="1" x14ac:dyDescent="0.25">
      <c r="A47" s="133"/>
      <c r="B47" s="75" t="s">
        <v>1827</v>
      </c>
      <c r="C47" s="86" t="s">
        <v>52</v>
      </c>
      <c r="D47" s="86" t="s">
        <v>53</v>
      </c>
      <c r="E47" s="86" t="s">
        <v>14</v>
      </c>
      <c r="F47" s="86" t="s">
        <v>13</v>
      </c>
      <c r="G47" s="86" t="s">
        <v>16</v>
      </c>
      <c r="H47" s="7">
        <f>CEILING((PRODUCT(1440,USD)),10)</f>
        <v>93090</v>
      </c>
      <c r="I47" s="8">
        <v>0.3</v>
      </c>
      <c r="J47" s="9">
        <f t="shared" si="2"/>
        <v>65170</v>
      </c>
    </row>
    <row r="48" spans="1:10" ht="21" customHeight="1" x14ac:dyDescent="0.25">
      <c r="A48" s="134"/>
      <c r="B48" s="75" t="s">
        <v>1828</v>
      </c>
      <c r="C48" s="86" t="s">
        <v>52</v>
      </c>
      <c r="D48" s="86" t="s">
        <v>53</v>
      </c>
      <c r="E48" s="86" t="s">
        <v>14</v>
      </c>
      <c r="F48" s="86" t="s">
        <v>15</v>
      </c>
      <c r="G48" s="86" t="s">
        <v>16</v>
      </c>
      <c r="H48" s="7">
        <f>CEILING((PRODUCT(1625,USD)),10)</f>
        <v>105040</v>
      </c>
      <c r="I48" s="8">
        <v>0.3</v>
      </c>
      <c r="J48" s="9">
        <f t="shared" si="2"/>
        <v>73530</v>
      </c>
    </row>
    <row r="49" spans="1:10" ht="20.100000000000001" customHeight="1" x14ac:dyDescent="0.25">
      <c r="A49" s="131"/>
      <c r="B49" s="131"/>
      <c r="C49" s="131"/>
      <c r="D49" s="131"/>
      <c r="E49" s="131"/>
      <c r="F49" s="131"/>
      <c r="G49" s="131"/>
      <c r="H49" s="131"/>
      <c r="I49" s="131"/>
      <c r="J49" s="131"/>
    </row>
    <row r="50" spans="1:10" ht="39.950000000000003" customHeight="1" x14ac:dyDescent="0.25">
      <c r="A50" s="129" t="s">
        <v>1889</v>
      </c>
      <c r="B50" s="130"/>
      <c r="C50" s="130"/>
      <c r="D50" s="130"/>
      <c r="E50" s="130"/>
      <c r="F50" s="130"/>
      <c r="G50" s="130"/>
      <c r="H50" s="130"/>
      <c r="I50" s="130"/>
      <c r="J50" s="130"/>
    </row>
    <row r="51" spans="1:10" ht="30" customHeight="1" x14ac:dyDescent="0.25">
      <c r="A51" s="86"/>
      <c r="B51" s="39" t="s">
        <v>2</v>
      </c>
      <c r="C51" s="4" t="s">
        <v>48</v>
      </c>
      <c r="D51" s="4" t="s">
        <v>49</v>
      </c>
      <c r="E51" s="39" t="s">
        <v>9</v>
      </c>
      <c r="F51" s="39" t="s">
        <v>10</v>
      </c>
      <c r="G51" s="4" t="s">
        <v>11</v>
      </c>
      <c r="H51" s="4" t="s">
        <v>17</v>
      </c>
      <c r="I51" s="4" t="s">
        <v>12</v>
      </c>
      <c r="J51" s="4" t="s">
        <v>18</v>
      </c>
    </row>
    <row r="52" spans="1:10" ht="20.100000000000001" customHeight="1" x14ac:dyDescent="0.25">
      <c r="A52" s="124"/>
      <c r="B52" s="75" t="s">
        <v>1831</v>
      </c>
      <c r="C52" s="86" t="s">
        <v>1859</v>
      </c>
      <c r="D52" s="86" t="s">
        <v>54</v>
      </c>
      <c r="E52" s="86" t="s">
        <v>31</v>
      </c>
      <c r="F52" s="86" t="s">
        <v>13</v>
      </c>
      <c r="G52" s="86" t="s">
        <v>237</v>
      </c>
      <c r="H52" s="7">
        <f>CEILING((PRODUCT(946,USD)),10)</f>
        <v>61150</v>
      </c>
      <c r="I52" s="8">
        <v>0.3</v>
      </c>
      <c r="J52" s="9">
        <f>CEILING(H52*0.7,10)</f>
        <v>42810</v>
      </c>
    </row>
    <row r="53" spans="1:10" ht="20.100000000000001" customHeight="1" x14ac:dyDescent="0.25">
      <c r="A53" s="124"/>
      <c r="B53" s="75" t="s">
        <v>1832</v>
      </c>
      <c r="C53" s="86" t="s">
        <v>1859</v>
      </c>
      <c r="D53" s="86" t="s">
        <v>54</v>
      </c>
      <c r="E53" s="86" t="s">
        <v>31</v>
      </c>
      <c r="F53" s="86" t="s">
        <v>15</v>
      </c>
      <c r="G53" s="86" t="s">
        <v>237</v>
      </c>
      <c r="H53" s="7">
        <f>CEILING((PRODUCT(1043,USD)),10)</f>
        <v>67420</v>
      </c>
      <c r="I53" s="8">
        <v>0.3</v>
      </c>
      <c r="J53" s="9">
        <f t="shared" ref="J53:J78" si="3">CEILING(H53*0.7,10)</f>
        <v>47200</v>
      </c>
    </row>
    <row r="54" spans="1:10" ht="20.100000000000001" customHeight="1" x14ac:dyDescent="0.25">
      <c r="A54" s="124"/>
      <c r="B54" s="75" t="s">
        <v>1833</v>
      </c>
      <c r="C54" s="86" t="s">
        <v>52</v>
      </c>
      <c r="D54" s="86" t="s">
        <v>54</v>
      </c>
      <c r="E54" s="86" t="s">
        <v>31</v>
      </c>
      <c r="F54" s="86" t="s">
        <v>13</v>
      </c>
      <c r="G54" s="86" t="s">
        <v>237</v>
      </c>
      <c r="H54" s="7">
        <f>CEILING((PRODUCT(950,USD)),10)</f>
        <v>61410</v>
      </c>
      <c r="I54" s="8">
        <v>0.3</v>
      </c>
      <c r="J54" s="9">
        <f t="shared" si="3"/>
        <v>42990</v>
      </c>
    </row>
    <row r="55" spans="1:10" ht="20.100000000000001" customHeight="1" x14ac:dyDescent="0.25">
      <c r="A55" s="124"/>
      <c r="B55" s="75" t="s">
        <v>1834</v>
      </c>
      <c r="C55" s="86" t="s">
        <v>52</v>
      </c>
      <c r="D55" s="86" t="s">
        <v>54</v>
      </c>
      <c r="E55" s="86" t="s">
        <v>31</v>
      </c>
      <c r="F55" s="86" t="s">
        <v>15</v>
      </c>
      <c r="G55" s="86" t="s">
        <v>237</v>
      </c>
      <c r="H55" s="7">
        <f>CEILING((PRODUCT(1043,USD)),10)</f>
        <v>67420</v>
      </c>
      <c r="I55" s="8">
        <v>0.3</v>
      </c>
      <c r="J55" s="9">
        <f t="shared" si="3"/>
        <v>47200</v>
      </c>
    </row>
    <row r="56" spans="1:10" ht="20.100000000000001" customHeight="1" x14ac:dyDescent="0.25">
      <c r="A56" s="124"/>
      <c r="B56" s="75" t="s">
        <v>1835</v>
      </c>
      <c r="C56" s="86" t="s">
        <v>58</v>
      </c>
      <c r="D56" s="86" t="s">
        <v>54</v>
      </c>
      <c r="E56" s="86" t="s">
        <v>31</v>
      </c>
      <c r="F56" s="86" t="s">
        <v>13</v>
      </c>
      <c r="G56" s="86" t="s">
        <v>237</v>
      </c>
      <c r="H56" s="7">
        <f>CEILING((PRODUCT(1011,USD)),10)</f>
        <v>65360</v>
      </c>
      <c r="I56" s="8">
        <v>0.3</v>
      </c>
      <c r="J56" s="9">
        <f t="shared" si="3"/>
        <v>45760</v>
      </c>
    </row>
    <row r="57" spans="1:10" ht="20.100000000000001" customHeight="1" x14ac:dyDescent="0.25">
      <c r="A57" s="124"/>
      <c r="B57" s="75" t="s">
        <v>1836</v>
      </c>
      <c r="C57" s="86" t="s">
        <v>58</v>
      </c>
      <c r="D57" s="86" t="s">
        <v>54</v>
      </c>
      <c r="E57" s="86" t="s">
        <v>31</v>
      </c>
      <c r="F57" s="86" t="s">
        <v>15</v>
      </c>
      <c r="G57" s="86" t="s">
        <v>237</v>
      </c>
      <c r="H57" s="7">
        <f>CEILING((PRODUCT(1108,USD)),10)</f>
        <v>71630</v>
      </c>
      <c r="I57" s="8">
        <v>0.3</v>
      </c>
      <c r="J57" s="9">
        <f t="shared" si="3"/>
        <v>50150</v>
      </c>
    </row>
    <row r="58" spans="1:10" ht="20.100000000000001" customHeight="1" x14ac:dyDescent="0.25">
      <c r="A58" s="124"/>
      <c r="B58" s="75" t="s">
        <v>1837</v>
      </c>
      <c r="C58" s="86" t="s">
        <v>59</v>
      </c>
      <c r="D58" s="86" t="s">
        <v>54</v>
      </c>
      <c r="E58" s="86" t="s">
        <v>31</v>
      </c>
      <c r="F58" s="86" t="s">
        <v>13</v>
      </c>
      <c r="G58" s="86" t="s">
        <v>237</v>
      </c>
      <c r="H58" s="7">
        <f>CEILING((PRODUCT(1050,USD)),10)</f>
        <v>67880</v>
      </c>
      <c r="I58" s="8">
        <v>0.3</v>
      </c>
      <c r="J58" s="9">
        <f t="shared" si="3"/>
        <v>47520</v>
      </c>
    </row>
    <row r="59" spans="1:10" ht="20.100000000000001" customHeight="1" x14ac:dyDescent="0.25">
      <c r="A59" s="124"/>
      <c r="B59" s="75" t="s">
        <v>1838</v>
      </c>
      <c r="C59" s="86" t="s">
        <v>59</v>
      </c>
      <c r="D59" s="86" t="s">
        <v>54</v>
      </c>
      <c r="E59" s="86" t="s">
        <v>31</v>
      </c>
      <c r="F59" s="86" t="s">
        <v>15</v>
      </c>
      <c r="G59" s="86" t="s">
        <v>237</v>
      </c>
      <c r="H59" s="7">
        <f>CEILING((PRODUCT(1130,USD)),10)</f>
        <v>73050</v>
      </c>
      <c r="I59" s="8">
        <v>0.3</v>
      </c>
      <c r="J59" s="9">
        <f t="shared" si="3"/>
        <v>51140</v>
      </c>
    </row>
    <row r="60" spans="1:10" ht="20.100000000000001" customHeight="1" x14ac:dyDescent="0.25">
      <c r="A60" s="124"/>
      <c r="B60" s="75" t="s">
        <v>1839</v>
      </c>
      <c r="C60" s="86" t="s">
        <v>405</v>
      </c>
      <c r="D60" s="86" t="s">
        <v>54</v>
      </c>
      <c r="E60" s="86" t="s">
        <v>31</v>
      </c>
      <c r="F60" s="86" t="s">
        <v>13</v>
      </c>
      <c r="G60" s="86" t="s">
        <v>237</v>
      </c>
      <c r="H60" s="7">
        <f>CEILING((PRODUCT(1100,USD)),10)</f>
        <v>71110</v>
      </c>
      <c r="I60" s="8">
        <v>0.3</v>
      </c>
      <c r="J60" s="9">
        <f t="shared" si="3"/>
        <v>49780</v>
      </c>
    </row>
    <row r="61" spans="1:10" ht="20.100000000000001" customHeight="1" x14ac:dyDescent="0.25">
      <c r="A61" s="124"/>
      <c r="B61" s="75" t="s">
        <v>1840</v>
      </c>
      <c r="C61" s="86" t="s">
        <v>405</v>
      </c>
      <c r="D61" s="86" t="s">
        <v>54</v>
      </c>
      <c r="E61" s="86" t="s">
        <v>31</v>
      </c>
      <c r="F61" s="86" t="s">
        <v>15</v>
      </c>
      <c r="G61" s="86" t="s">
        <v>237</v>
      </c>
      <c r="H61" s="7">
        <f>CEILING((PRODUCT(1395,USD)),10)</f>
        <v>90180</v>
      </c>
      <c r="I61" s="8">
        <v>0.3</v>
      </c>
      <c r="J61" s="9">
        <f t="shared" si="3"/>
        <v>63130</v>
      </c>
    </row>
    <row r="62" spans="1:10" ht="20.100000000000001" customHeight="1" x14ac:dyDescent="0.25">
      <c r="A62" s="124"/>
      <c r="B62" s="75" t="s">
        <v>1841</v>
      </c>
      <c r="C62" s="86" t="s">
        <v>104</v>
      </c>
      <c r="D62" s="86" t="s">
        <v>55</v>
      </c>
      <c r="E62" s="86" t="s">
        <v>31</v>
      </c>
      <c r="F62" s="86" t="s">
        <v>13</v>
      </c>
      <c r="G62" s="86" t="s">
        <v>253</v>
      </c>
      <c r="H62" s="7">
        <f>CEILING((PRODUCT(750,USD)),10)</f>
        <v>48480</v>
      </c>
      <c r="I62" s="8">
        <v>0.3</v>
      </c>
      <c r="J62" s="9">
        <f t="shared" si="3"/>
        <v>33940</v>
      </c>
    </row>
    <row r="63" spans="1:10" ht="20.100000000000001" customHeight="1" x14ac:dyDescent="0.25">
      <c r="A63" s="124"/>
      <c r="B63" s="75" t="s">
        <v>1842</v>
      </c>
      <c r="C63" s="86" t="s">
        <v>104</v>
      </c>
      <c r="D63" s="86" t="s">
        <v>55</v>
      </c>
      <c r="E63" s="86" t="s">
        <v>31</v>
      </c>
      <c r="F63" s="86" t="s">
        <v>15</v>
      </c>
      <c r="G63" s="86" t="s">
        <v>253</v>
      </c>
      <c r="H63" s="7">
        <f>CEILING((PRODUCT(962,USD)),10)</f>
        <v>62190</v>
      </c>
      <c r="I63" s="8">
        <v>0.3</v>
      </c>
      <c r="J63" s="9">
        <f t="shared" si="3"/>
        <v>43540</v>
      </c>
    </row>
    <row r="64" spans="1:10" ht="20.100000000000001" customHeight="1" x14ac:dyDescent="0.25">
      <c r="A64" s="124"/>
      <c r="B64" s="75" t="s">
        <v>1843</v>
      </c>
      <c r="C64" s="86" t="s">
        <v>1142</v>
      </c>
      <c r="D64" s="86" t="s">
        <v>55</v>
      </c>
      <c r="E64" s="86" t="s">
        <v>31</v>
      </c>
      <c r="F64" s="86" t="s">
        <v>13</v>
      </c>
      <c r="G64" s="86" t="s">
        <v>253</v>
      </c>
      <c r="H64" s="7">
        <f>CEILING((PRODUCT(800,USD)),10)</f>
        <v>51720</v>
      </c>
      <c r="I64" s="8">
        <v>0.3</v>
      </c>
      <c r="J64" s="9">
        <f t="shared" si="3"/>
        <v>36210</v>
      </c>
    </row>
    <row r="65" spans="1:10" ht="20.100000000000001" customHeight="1" x14ac:dyDescent="0.25">
      <c r="A65" s="124"/>
      <c r="B65" s="75" t="s">
        <v>1844</v>
      </c>
      <c r="C65" s="86" t="s">
        <v>1142</v>
      </c>
      <c r="D65" s="86" t="s">
        <v>55</v>
      </c>
      <c r="E65" s="86" t="s">
        <v>31</v>
      </c>
      <c r="F65" s="86" t="s">
        <v>15</v>
      </c>
      <c r="G65" s="86" t="s">
        <v>253</v>
      </c>
      <c r="H65" s="7">
        <f>CEILING((PRODUCT(1000,USD)),10)</f>
        <v>64640</v>
      </c>
      <c r="I65" s="8">
        <v>0.3</v>
      </c>
      <c r="J65" s="9">
        <f t="shared" si="3"/>
        <v>45250</v>
      </c>
    </row>
    <row r="66" spans="1:10" ht="20.100000000000001" customHeight="1" x14ac:dyDescent="0.25">
      <c r="A66" s="124"/>
      <c r="B66" s="75" t="s">
        <v>1845</v>
      </c>
      <c r="C66" s="86" t="s">
        <v>64</v>
      </c>
      <c r="D66" s="86" t="s">
        <v>55</v>
      </c>
      <c r="E66" s="86" t="s">
        <v>31</v>
      </c>
      <c r="F66" s="86" t="s">
        <v>13</v>
      </c>
      <c r="G66" s="86" t="s">
        <v>253</v>
      </c>
      <c r="H66" s="7">
        <f>CEILING((PRODUCT(850,USD)),10)</f>
        <v>54950</v>
      </c>
      <c r="I66" s="8">
        <v>0.3</v>
      </c>
      <c r="J66" s="9">
        <f t="shared" si="3"/>
        <v>38470</v>
      </c>
    </row>
    <row r="67" spans="1:10" ht="20.100000000000001" customHeight="1" x14ac:dyDescent="0.25">
      <c r="A67" s="124"/>
      <c r="B67" s="75" t="s">
        <v>1846</v>
      </c>
      <c r="C67" s="86" t="s">
        <v>64</v>
      </c>
      <c r="D67" s="86" t="s">
        <v>55</v>
      </c>
      <c r="E67" s="86" t="s">
        <v>31</v>
      </c>
      <c r="F67" s="86" t="s">
        <v>15</v>
      </c>
      <c r="G67" s="86" t="s">
        <v>253</v>
      </c>
      <c r="H67" s="7">
        <f>CEILING((PRODUCT(1050,USD)),10)</f>
        <v>67880</v>
      </c>
      <c r="I67" s="8">
        <v>0.3</v>
      </c>
      <c r="J67" s="9">
        <f t="shared" si="3"/>
        <v>47520</v>
      </c>
    </row>
    <row r="68" spans="1:10" ht="20.100000000000001" customHeight="1" x14ac:dyDescent="0.25">
      <c r="A68" s="124"/>
      <c r="B68" s="75" t="s">
        <v>1847</v>
      </c>
      <c r="C68" s="86" t="s">
        <v>105</v>
      </c>
      <c r="D68" s="86" t="s">
        <v>55</v>
      </c>
      <c r="E68" s="86" t="s">
        <v>31</v>
      </c>
      <c r="F68" s="86" t="s">
        <v>13</v>
      </c>
      <c r="G68" s="86" t="s">
        <v>253</v>
      </c>
      <c r="H68" s="7">
        <f>CEILING((PRODUCT(900,USD)),10)</f>
        <v>58180</v>
      </c>
      <c r="I68" s="8">
        <v>0.3</v>
      </c>
      <c r="J68" s="9">
        <f t="shared" si="3"/>
        <v>40730</v>
      </c>
    </row>
    <row r="69" spans="1:10" ht="20.100000000000001" customHeight="1" x14ac:dyDescent="0.25">
      <c r="A69" s="124"/>
      <c r="B69" s="75" t="s">
        <v>1848</v>
      </c>
      <c r="C69" s="86" t="s">
        <v>105</v>
      </c>
      <c r="D69" s="86" t="s">
        <v>55</v>
      </c>
      <c r="E69" s="86" t="s">
        <v>31</v>
      </c>
      <c r="F69" s="86" t="s">
        <v>15</v>
      </c>
      <c r="G69" s="86" t="s">
        <v>253</v>
      </c>
      <c r="H69" s="7">
        <f>CEILING((PRODUCT(1100,USD)),10)</f>
        <v>71110</v>
      </c>
      <c r="I69" s="8">
        <v>0.3</v>
      </c>
      <c r="J69" s="9">
        <f t="shared" si="3"/>
        <v>49780</v>
      </c>
    </row>
    <row r="70" spans="1:10" ht="20.100000000000001" customHeight="1" x14ac:dyDescent="0.25">
      <c r="A70" s="124"/>
      <c r="B70" s="75" t="s">
        <v>1849</v>
      </c>
      <c r="C70" s="86" t="s">
        <v>106</v>
      </c>
      <c r="D70" s="86" t="s">
        <v>55</v>
      </c>
      <c r="E70" s="86" t="s">
        <v>31</v>
      </c>
      <c r="F70" s="86" t="s">
        <v>13</v>
      </c>
      <c r="G70" s="86" t="s">
        <v>253</v>
      </c>
      <c r="H70" s="7">
        <f>CEILING((PRODUCT(975,USD)),10)</f>
        <v>63030</v>
      </c>
      <c r="I70" s="8">
        <v>0.3</v>
      </c>
      <c r="J70" s="9">
        <f t="shared" si="3"/>
        <v>44130</v>
      </c>
    </row>
    <row r="71" spans="1:10" ht="20.100000000000001" customHeight="1" x14ac:dyDescent="0.25">
      <c r="A71" s="124"/>
      <c r="B71" s="75" t="s">
        <v>1850</v>
      </c>
      <c r="C71" s="86" t="s">
        <v>106</v>
      </c>
      <c r="D71" s="86" t="s">
        <v>55</v>
      </c>
      <c r="E71" s="86" t="s">
        <v>31</v>
      </c>
      <c r="F71" s="86" t="s">
        <v>15</v>
      </c>
      <c r="G71" s="86" t="s">
        <v>253</v>
      </c>
      <c r="H71" s="7">
        <f>CEILING((PRODUCT(1150,USD)),10)</f>
        <v>74340</v>
      </c>
      <c r="I71" s="8">
        <v>0.3</v>
      </c>
      <c r="J71" s="9">
        <f t="shared" si="3"/>
        <v>52040</v>
      </c>
    </row>
    <row r="72" spans="1:10" ht="20.100000000000001" customHeight="1" x14ac:dyDescent="0.25">
      <c r="A72" s="124"/>
      <c r="B72" s="75" t="s">
        <v>1851</v>
      </c>
      <c r="C72" s="86" t="s">
        <v>437</v>
      </c>
      <c r="D72" s="86" t="s">
        <v>55</v>
      </c>
      <c r="E72" s="86" t="s">
        <v>31</v>
      </c>
      <c r="F72" s="86" t="s">
        <v>13</v>
      </c>
      <c r="G72" s="86" t="s">
        <v>253</v>
      </c>
      <c r="H72" s="7">
        <f>CEILING((PRODUCT(1050,USD)),10)</f>
        <v>67880</v>
      </c>
      <c r="I72" s="8">
        <v>0.3</v>
      </c>
      <c r="J72" s="9">
        <f t="shared" si="3"/>
        <v>47520</v>
      </c>
    </row>
    <row r="73" spans="1:10" ht="20.100000000000001" customHeight="1" x14ac:dyDescent="0.25">
      <c r="A73" s="124"/>
      <c r="B73" s="75" t="s">
        <v>1852</v>
      </c>
      <c r="C73" s="86" t="s">
        <v>437</v>
      </c>
      <c r="D73" s="86" t="s">
        <v>55</v>
      </c>
      <c r="E73" s="86" t="s">
        <v>31</v>
      </c>
      <c r="F73" s="86" t="s">
        <v>15</v>
      </c>
      <c r="G73" s="86" t="s">
        <v>253</v>
      </c>
      <c r="H73" s="7">
        <f>CEILING((PRODUCT(1200,USD)),10)</f>
        <v>77570</v>
      </c>
      <c r="I73" s="8">
        <v>0.3</v>
      </c>
      <c r="J73" s="9">
        <f t="shared" si="3"/>
        <v>54300</v>
      </c>
    </row>
    <row r="74" spans="1:10" ht="20.100000000000001" customHeight="1" x14ac:dyDescent="0.25">
      <c r="A74" s="124"/>
      <c r="B74" s="75" t="s">
        <v>1853</v>
      </c>
      <c r="C74" s="86" t="s">
        <v>64</v>
      </c>
      <c r="D74" s="86" t="s">
        <v>56</v>
      </c>
      <c r="E74" s="86" t="s">
        <v>31</v>
      </c>
      <c r="F74" s="86" t="s">
        <v>13</v>
      </c>
      <c r="G74" s="86" t="s">
        <v>253</v>
      </c>
      <c r="H74" s="7">
        <f>CEILING((PRODUCT(700,USD)),10)</f>
        <v>45250</v>
      </c>
      <c r="I74" s="8">
        <v>0.3</v>
      </c>
      <c r="J74" s="9">
        <f t="shared" si="3"/>
        <v>31680</v>
      </c>
    </row>
    <row r="75" spans="1:10" ht="20.100000000000001" customHeight="1" x14ac:dyDescent="0.25">
      <c r="A75" s="124"/>
      <c r="B75" s="75" t="s">
        <v>1854</v>
      </c>
      <c r="C75" s="86" t="s">
        <v>64</v>
      </c>
      <c r="D75" s="86" t="s">
        <v>56</v>
      </c>
      <c r="E75" s="86" t="s">
        <v>31</v>
      </c>
      <c r="F75" s="86" t="s">
        <v>15</v>
      </c>
      <c r="G75" s="86" t="s">
        <v>253</v>
      </c>
      <c r="H75" s="7">
        <f>CEILING((PRODUCT(950,USD)),10)</f>
        <v>61410</v>
      </c>
      <c r="I75" s="8">
        <v>0.3</v>
      </c>
      <c r="J75" s="9">
        <f t="shared" si="3"/>
        <v>42990</v>
      </c>
    </row>
    <row r="76" spans="1:10" ht="20.100000000000001" customHeight="1" x14ac:dyDescent="0.25">
      <c r="A76" s="124"/>
      <c r="B76" s="75" t="s">
        <v>1855</v>
      </c>
      <c r="C76" s="86" t="s">
        <v>106</v>
      </c>
      <c r="D76" s="86" t="s">
        <v>56</v>
      </c>
      <c r="E76" s="86" t="s">
        <v>31</v>
      </c>
      <c r="F76" s="86" t="s">
        <v>13</v>
      </c>
      <c r="G76" s="86" t="s">
        <v>253</v>
      </c>
      <c r="H76" s="7">
        <f>CEILING((PRODUCT(750,USD)),10)</f>
        <v>48480</v>
      </c>
      <c r="I76" s="8">
        <v>0.3</v>
      </c>
      <c r="J76" s="9">
        <f t="shared" si="3"/>
        <v>33940</v>
      </c>
    </row>
    <row r="77" spans="1:10" ht="20.100000000000001" customHeight="1" x14ac:dyDescent="0.25">
      <c r="A77" s="124"/>
      <c r="B77" s="75" t="s">
        <v>1856</v>
      </c>
      <c r="C77" s="86" t="s">
        <v>106</v>
      </c>
      <c r="D77" s="86" t="s">
        <v>56</v>
      </c>
      <c r="E77" s="86" t="s">
        <v>31</v>
      </c>
      <c r="F77" s="86" t="s">
        <v>15</v>
      </c>
      <c r="G77" s="86" t="s">
        <v>253</v>
      </c>
      <c r="H77" s="7">
        <f>CEILING((PRODUCT(1000,USD)),10)</f>
        <v>64640</v>
      </c>
      <c r="I77" s="8">
        <v>0.3</v>
      </c>
      <c r="J77" s="9">
        <f t="shared" si="3"/>
        <v>45250</v>
      </c>
    </row>
    <row r="78" spans="1:10" ht="20.100000000000001" customHeight="1" x14ac:dyDescent="0.25">
      <c r="A78" s="124"/>
      <c r="B78" s="75" t="s">
        <v>1857</v>
      </c>
      <c r="C78" s="86" t="s">
        <v>107</v>
      </c>
      <c r="D78" s="86" t="s">
        <v>56</v>
      </c>
      <c r="E78" s="86" t="s">
        <v>31</v>
      </c>
      <c r="F78" s="86" t="s">
        <v>13</v>
      </c>
      <c r="G78" s="86" t="s">
        <v>253</v>
      </c>
      <c r="H78" s="7">
        <f>CEILING((PRODUCT(800,USD)),10)</f>
        <v>51720</v>
      </c>
      <c r="I78" s="8">
        <v>0.3</v>
      </c>
      <c r="J78" s="9">
        <f t="shared" si="3"/>
        <v>36210</v>
      </c>
    </row>
    <row r="79" spans="1:10" ht="20.100000000000001" customHeight="1" x14ac:dyDescent="0.25">
      <c r="A79" s="124"/>
      <c r="B79" s="75" t="s">
        <v>1858</v>
      </c>
      <c r="C79" s="86" t="s">
        <v>108</v>
      </c>
      <c r="D79" s="86" t="s">
        <v>56</v>
      </c>
      <c r="E79" s="86" t="s">
        <v>31</v>
      </c>
      <c r="F79" s="86" t="s">
        <v>13</v>
      </c>
      <c r="G79" s="86" t="s">
        <v>253</v>
      </c>
      <c r="H79" s="7">
        <f>CEILING((PRODUCT(1050,USD)),10)</f>
        <v>67880</v>
      </c>
      <c r="I79" s="8">
        <v>0.3</v>
      </c>
      <c r="J79" s="9">
        <f>CEILING(H79*0.7,10)</f>
        <v>47520</v>
      </c>
    </row>
    <row r="80" spans="1:10" ht="20.100000000000001" customHeight="1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</row>
    <row r="81" spans="1:10" ht="39.950000000000003" customHeight="1" x14ac:dyDescent="0.25">
      <c r="A81" s="129" t="s">
        <v>1860</v>
      </c>
      <c r="B81" s="130"/>
      <c r="C81" s="130"/>
      <c r="D81" s="130"/>
      <c r="E81" s="130"/>
      <c r="F81" s="130"/>
      <c r="G81" s="130"/>
      <c r="H81" s="130"/>
      <c r="I81" s="130"/>
      <c r="J81" s="130"/>
    </row>
    <row r="82" spans="1:10" ht="30" customHeight="1" x14ac:dyDescent="0.25">
      <c r="A82" s="5"/>
      <c r="B82" s="3" t="s">
        <v>2</v>
      </c>
      <c r="C82" s="4" t="s">
        <v>48</v>
      </c>
      <c r="D82" s="4" t="s">
        <v>49</v>
      </c>
      <c r="E82" s="3" t="s">
        <v>9</v>
      </c>
      <c r="F82" s="3" t="s">
        <v>10</v>
      </c>
      <c r="G82" s="4" t="s">
        <v>11</v>
      </c>
      <c r="H82" s="4" t="s">
        <v>17</v>
      </c>
      <c r="I82" s="4" t="s">
        <v>12</v>
      </c>
      <c r="J82" s="4" t="s">
        <v>18</v>
      </c>
    </row>
    <row r="83" spans="1:10" ht="21" customHeight="1" x14ac:dyDescent="0.25">
      <c r="A83" s="132"/>
      <c r="B83" s="75" t="s">
        <v>630</v>
      </c>
      <c r="C83" s="5" t="s">
        <v>636</v>
      </c>
      <c r="D83" s="5" t="s">
        <v>53</v>
      </c>
      <c r="E83" s="5" t="s">
        <v>14</v>
      </c>
      <c r="F83" s="5" t="s">
        <v>13</v>
      </c>
      <c r="G83" s="5" t="s">
        <v>16</v>
      </c>
      <c r="H83" s="7">
        <f>CEILING((PRODUCT(1330,USD)),10)</f>
        <v>85980</v>
      </c>
      <c r="I83" s="8">
        <v>0.3</v>
      </c>
      <c r="J83" s="9">
        <f>CEILING(H83*0.7,10)</f>
        <v>60190</v>
      </c>
    </row>
    <row r="84" spans="1:10" ht="21" customHeight="1" x14ac:dyDescent="0.25">
      <c r="A84" s="133"/>
      <c r="B84" s="75" t="s">
        <v>631</v>
      </c>
      <c r="C84" s="5" t="s">
        <v>636</v>
      </c>
      <c r="D84" s="5" t="s">
        <v>53</v>
      </c>
      <c r="E84" s="5" t="s">
        <v>14</v>
      </c>
      <c r="F84" s="5" t="s">
        <v>15</v>
      </c>
      <c r="G84" s="5" t="s">
        <v>16</v>
      </c>
      <c r="H84" s="7">
        <f>CEILING((PRODUCT(1510,USD)),10)</f>
        <v>97610</v>
      </c>
      <c r="I84" s="8">
        <v>0.3</v>
      </c>
      <c r="J84" s="9">
        <f>CEILING(H84*0.7,10)</f>
        <v>68330</v>
      </c>
    </row>
    <row r="85" spans="1:10" ht="21" customHeight="1" x14ac:dyDescent="0.25">
      <c r="A85" s="133"/>
      <c r="B85" s="87" t="s">
        <v>632</v>
      </c>
      <c r="C85" s="69" t="s">
        <v>629</v>
      </c>
      <c r="D85" s="69" t="s">
        <v>53</v>
      </c>
      <c r="E85" s="69" t="s">
        <v>14</v>
      </c>
      <c r="F85" s="69" t="s">
        <v>13</v>
      </c>
      <c r="G85" s="69" t="s">
        <v>16</v>
      </c>
      <c r="H85" s="70" t="s">
        <v>222</v>
      </c>
      <c r="I85" s="71" t="s">
        <v>222</v>
      </c>
      <c r="J85" s="72" t="s">
        <v>222</v>
      </c>
    </row>
    <row r="86" spans="1:10" ht="21" customHeight="1" x14ac:dyDescent="0.25">
      <c r="A86" s="133"/>
      <c r="B86" s="87" t="s">
        <v>633</v>
      </c>
      <c r="C86" s="69" t="s">
        <v>629</v>
      </c>
      <c r="D86" s="69" t="s">
        <v>53</v>
      </c>
      <c r="E86" s="69" t="s">
        <v>14</v>
      </c>
      <c r="F86" s="69" t="s">
        <v>15</v>
      </c>
      <c r="G86" s="69" t="s">
        <v>16</v>
      </c>
      <c r="H86" s="70" t="s">
        <v>222</v>
      </c>
      <c r="I86" s="71" t="s">
        <v>222</v>
      </c>
      <c r="J86" s="72" t="s">
        <v>222</v>
      </c>
    </row>
    <row r="87" spans="1:10" ht="21" customHeight="1" x14ac:dyDescent="0.25">
      <c r="A87" s="133"/>
      <c r="B87" s="87" t="s">
        <v>634</v>
      </c>
      <c r="C87" s="69" t="s">
        <v>290</v>
      </c>
      <c r="D87" s="69" t="s">
        <v>53</v>
      </c>
      <c r="E87" s="69" t="s">
        <v>14</v>
      </c>
      <c r="F87" s="69" t="s">
        <v>13</v>
      </c>
      <c r="G87" s="69" t="s">
        <v>16</v>
      </c>
      <c r="H87" s="70" t="s">
        <v>222</v>
      </c>
      <c r="I87" s="71" t="s">
        <v>222</v>
      </c>
      <c r="J87" s="72" t="s">
        <v>222</v>
      </c>
    </row>
    <row r="88" spans="1:10" ht="21" customHeight="1" x14ac:dyDescent="0.25">
      <c r="A88" s="134"/>
      <c r="B88" s="87" t="s">
        <v>635</v>
      </c>
      <c r="C88" s="69" t="s">
        <v>290</v>
      </c>
      <c r="D88" s="69" t="s">
        <v>53</v>
      </c>
      <c r="E88" s="69" t="s">
        <v>14</v>
      </c>
      <c r="F88" s="69" t="s">
        <v>15</v>
      </c>
      <c r="G88" s="69" t="s">
        <v>16</v>
      </c>
      <c r="H88" s="70" t="s">
        <v>222</v>
      </c>
      <c r="I88" s="71" t="s">
        <v>222</v>
      </c>
      <c r="J88" s="72" t="s">
        <v>222</v>
      </c>
    </row>
    <row r="89" spans="1:10" ht="20.100000000000001" customHeight="1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</row>
    <row r="90" spans="1:10" ht="39.950000000000003" customHeight="1" x14ac:dyDescent="0.25">
      <c r="A90" s="117" t="s">
        <v>1861</v>
      </c>
      <c r="B90" s="118"/>
      <c r="C90" s="118"/>
      <c r="D90" s="118"/>
      <c r="E90" s="118"/>
      <c r="F90" s="118"/>
      <c r="G90" s="118"/>
      <c r="H90" s="118"/>
      <c r="I90" s="118"/>
      <c r="J90" s="118"/>
    </row>
    <row r="91" spans="1:10" ht="30" customHeight="1" x14ac:dyDescent="0.25">
      <c r="A91" s="5"/>
      <c r="B91" s="3" t="s">
        <v>2</v>
      </c>
      <c r="C91" s="4" t="s">
        <v>48</v>
      </c>
      <c r="D91" s="4" t="s">
        <v>49</v>
      </c>
      <c r="E91" s="3" t="s">
        <v>9</v>
      </c>
      <c r="F91" s="3" t="s">
        <v>10</v>
      </c>
      <c r="G91" s="4" t="s">
        <v>11</v>
      </c>
      <c r="H91" s="4" t="s">
        <v>17</v>
      </c>
      <c r="I91" s="4" t="s">
        <v>12</v>
      </c>
      <c r="J91" s="4" t="s">
        <v>18</v>
      </c>
    </row>
    <row r="92" spans="1:10" ht="24.95" customHeight="1" x14ac:dyDescent="0.25">
      <c r="A92" s="124"/>
      <c r="B92" s="105" t="s">
        <v>637</v>
      </c>
      <c r="C92" s="5" t="s">
        <v>290</v>
      </c>
      <c r="D92" s="5" t="s">
        <v>54</v>
      </c>
      <c r="E92" s="5" t="s">
        <v>31</v>
      </c>
      <c r="F92" s="5" t="s">
        <v>13</v>
      </c>
      <c r="G92" s="5" t="s">
        <v>237</v>
      </c>
      <c r="H92" s="7">
        <f>CEILING((PRODUCT(770,USD)),10)</f>
        <v>49780</v>
      </c>
      <c r="I92" s="8">
        <v>0.3</v>
      </c>
      <c r="J92" s="9">
        <f>CEILING(H92*0.7,10)</f>
        <v>34850</v>
      </c>
    </row>
    <row r="93" spans="1:10" ht="24.95" customHeight="1" x14ac:dyDescent="0.25">
      <c r="A93" s="124"/>
      <c r="B93" s="105" t="s">
        <v>638</v>
      </c>
      <c r="C93" s="5" t="s">
        <v>290</v>
      </c>
      <c r="D93" s="5" t="s">
        <v>54</v>
      </c>
      <c r="E93" s="5" t="s">
        <v>31</v>
      </c>
      <c r="F93" s="5" t="s">
        <v>15</v>
      </c>
      <c r="G93" s="5" t="s">
        <v>237</v>
      </c>
      <c r="H93" s="7">
        <f>CEILING((PRODUCT(925,USD)),10)</f>
        <v>59800</v>
      </c>
      <c r="I93" s="8">
        <v>0.3</v>
      </c>
      <c r="J93" s="9">
        <f t="shared" ref="J93:J100" si="4">CEILING(H93*0.7,10)</f>
        <v>41860</v>
      </c>
    </row>
    <row r="94" spans="1:10" ht="24.95" customHeight="1" x14ac:dyDescent="0.25">
      <c r="A94" s="124"/>
      <c r="B94" s="105" t="s">
        <v>639</v>
      </c>
      <c r="C94" s="5" t="s">
        <v>466</v>
      </c>
      <c r="D94" s="5" t="s">
        <v>54</v>
      </c>
      <c r="E94" s="5" t="s">
        <v>31</v>
      </c>
      <c r="F94" s="5" t="s">
        <v>13</v>
      </c>
      <c r="G94" s="5" t="s">
        <v>237</v>
      </c>
      <c r="H94" s="7">
        <f>CEILING((PRODUCT(975,USD)),10)</f>
        <v>63030</v>
      </c>
      <c r="I94" s="8">
        <v>0.3</v>
      </c>
      <c r="J94" s="9">
        <f t="shared" si="4"/>
        <v>44130</v>
      </c>
    </row>
    <row r="95" spans="1:10" ht="24.95" customHeight="1" x14ac:dyDescent="0.25">
      <c r="A95" s="124"/>
      <c r="B95" s="105" t="s">
        <v>640</v>
      </c>
      <c r="C95" s="5" t="s">
        <v>466</v>
      </c>
      <c r="D95" s="5" t="s">
        <v>54</v>
      </c>
      <c r="E95" s="5" t="s">
        <v>31</v>
      </c>
      <c r="F95" s="5" t="s">
        <v>15</v>
      </c>
      <c r="G95" s="5" t="s">
        <v>237</v>
      </c>
      <c r="H95" s="7">
        <f>CEILING((PRODUCT(1130,USD)),10)</f>
        <v>73050</v>
      </c>
      <c r="I95" s="8">
        <v>0.3</v>
      </c>
      <c r="J95" s="9">
        <f t="shared" si="4"/>
        <v>51140</v>
      </c>
    </row>
    <row r="96" spans="1:10" ht="24.95" customHeight="1" x14ac:dyDescent="0.25">
      <c r="A96" s="124"/>
      <c r="B96" s="105" t="s">
        <v>641</v>
      </c>
      <c r="C96" s="5" t="s">
        <v>60</v>
      </c>
      <c r="D96" s="5" t="s">
        <v>55</v>
      </c>
      <c r="E96" s="5" t="s">
        <v>31</v>
      </c>
      <c r="F96" s="5" t="s">
        <v>13</v>
      </c>
      <c r="G96" s="5" t="s">
        <v>253</v>
      </c>
      <c r="H96" s="7">
        <f>CEILING((PRODUCT(770,USD)),10)</f>
        <v>49780</v>
      </c>
      <c r="I96" s="8">
        <v>0.3</v>
      </c>
      <c r="J96" s="9">
        <f t="shared" si="4"/>
        <v>34850</v>
      </c>
    </row>
    <row r="97" spans="1:10" ht="24.95" customHeight="1" x14ac:dyDescent="0.25">
      <c r="A97" s="124"/>
      <c r="B97" s="105" t="s">
        <v>642</v>
      </c>
      <c r="C97" s="5" t="s">
        <v>60</v>
      </c>
      <c r="D97" s="5" t="s">
        <v>55</v>
      </c>
      <c r="E97" s="5" t="s">
        <v>31</v>
      </c>
      <c r="F97" s="5" t="s">
        <v>15</v>
      </c>
      <c r="G97" s="5" t="s">
        <v>253</v>
      </c>
      <c r="H97" s="7">
        <f>CEILING((PRODUCT(925,USD)),10)</f>
        <v>59800</v>
      </c>
      <c r="I97" s="8">
        <v>0.3</v>
      </c>
      <c r="J97" s="9">
        <f t="shared" si="4"/>
        <v>41860</v>
      </c>
    </row>
    <row r="98" spans="1:10" ht="24.95" customHeight="1" x14ac:dyDescent="0.25">
      <c r="A98" s="124"/>
      <c r="B98" s="105" t="s">
        <v>643</v>
      </c>
      <c r="C98" s="5" t="s">
        <v>217</v>
      </c>
      <c r="D98" s="5" t="s">
        <v>55</v>
      </c>
      <c r="E98" s="5" t="s">
        <v>31</v>
      </c>
      <c r="F98" s="5" t="s">
        <v>13</v>
      </c>
      <c r="G98" s="5" t="s">
        <v>253</v>
      </c>
      <c r="H98" s="7">
        <f>CEILING((PRODUCT(875,USD)),10)</f>
        <v>56560</v>
      </c>
      <c r="I98" s="8">
        <v>0.3</v>
      </c>
      <c r="J98" s="9">
        <f t="shared" si="4"/>
        <v>39600</v>
      </c>
    </row>
    <row r="99" spans="1:10" ht="24.95" customHeight="1" x14ac:dyDescent="0.25">
      <c r="A99" s="124"/>
      <c r="B99" s="105" t="s">
        <v>644</v>
      </c>
      <c r="C99" s="5" t="s">
        <v>217</v>
      </c>
      <c r="D99" s="5" t="s">
        <v>55</v>
      </c>
      <c r="E99" s="5" t="s">
        <v>31</v>
      </c>
      <c r="F99" s="5" t="s">
        <v>15</v>
      </c>
      <c r="G99" s="5" t="s">
        <v>253</v>
      </c>
      <c r="H99" s="7">
        <f>CEILING((PRODUCT(1030,USD)),10)</f>
        <v>66580</v>
      </c>
      <c r="I99" s="8">
        <v>0.3</v>
      </c>
      <c r="J99" s="9">
        <f t="shared" si="4"/>
        <v>46610</v>
      </c>
    </row>
    <row r="100" spans="1:10" ht="24.95" customHeight="1" x14ac:dyDescent="0.25">
      <c r="A100" s="124"/>
      <c r="B100" s="105" t="s">
        <v>645</v>
      </c>
      <c r="C100" s="5" t="s">
        <v>66</v>
      </c>
      <c r="D100" s="5" t="s">
        <v>55</v>
      </c>
      <c r="E100" s="5" t="s">
        <v>31</v>
      </c>
      <c r="F100" s="5" t="s">
        <v>13</v>
      </c>
      <c r="G100" s="5" t="s">
        <v>253</v>
      </c>
      <c r="H100" s="7">
        <f>CEILING((PRODUCT(975,USD)),10)</f>
        <v>63030</v>
      </c>
      <c r="I100" s="8">
        <v>0.3</v>
      </c>
      <c r="J100" s="9">
        <f t="shared" si="4"/>
        <v>44130</v>
      </c>
    </row>
    <row r="101" spans="1:10" ht="24.95" customHeight="1" x14ac:dyDescent="0.25">
      <c r="A101" s="124"/>
      <c r="B101" s="105" t="s">
        <v>646</v>
      </c>
      <c r="C101" s="5" t="s">
        <v>66</v>
      </c>
      <c r="D101" s="5" t="s">
        <v>55</v>
      </c>
      <c r="E101" s="5" t="s">
        <v>31</v>
      </c>
      <c r="F101" s="5" t="s">
        <v>15</v>
      </c>
      <c r="G101" s="5" t="s">
        <v>253</v>
      </c>
      <c r="H101" s="7">
        <f>CEILING((PRODUCT(1130,USD)),10)</f>
        <v>73050</v>
      </c>
      <c r="I101" s="8">
        <v>0.3</v>
      </c>
      <c r="J101" s="9">
        <f>CEILING(H101*0.7,10)</f>
        <v>51140</v>
      </c>
    </row>
    <row r="102" spans="1:10" ht="20.100000000000001" customHeight="1" x14ac:dyDescent="0.25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</row>
    <row r="103" spans="1:10" ht="39.950000000000003" customHeight="1" x14ac:dyDescent="0.25">
      <c r="A103" s="117" t="s">
        <v>1862</v>
      </c>
      <c r="B103" s="118"/>
      <c r="C103" s="118"/>
      <c r="D103" s="118"/>
      <c r="E103" s="118"/>
      <c r="F103" s="118"/>
      <c r="G103" s="118"/>
      <c r="H103" s="118"/>
      <c r="I103" s="118"/>
      <c r="J103" s="118"/>
    </row>
    <row r="104" spans="1:10" ht="30" customHeight="1" x14ac:dyDescent="0.25">
      <c r="A104" s="5"/>
      <c r="B104" s="3" t="s">
        <v>2</v>
      </c>
      <c r="C104" s="4" t="s">
        <v>48</v>
      </c>
      <c r="D104" s="4" t="s">
        <v>49</v>
      </c>
      <c r="E104" s="3" t="s">
        <v>9</v>
      </c>
      <c r="F104" s="3" t="s">
        <v>10</v>
      </c>
      <c r="G104" s="4" t="s">
        <v>11</v>
      </c>
      <c r="H104" s="4" t="s">
        <v>17</v>
      </c>
      <c r="I104" s="4" t="s">
        <v>12</v>
      </c>
      <c r="J104" s="4" t="s">
        <v>18</v>
      </c>
    </row>
    <row r="105" spans="1:10" ht="30" customHeight="1" x14ac:dyDescent="0.25">
      <c r="A105" s="124"/>
      <c r="B105" s="105" t="s">
        <v>1147</v>
      </c>
      <c r="C105" s="5" t="s">
        <v>51</v>
      </c>
      <c r="D105" s="5" t="s">
        <v>53</v>
      </c>
      <c r="E105" s="5" t="s">
        <v>14</v>
      </c>
      <c r="F105" s="5" t="s">
        <v>15</v>
      </c>
      <c r="G105" s="5" t="s">
        <v>16</v>
      </c>
      <c r="H105" s="7">
        <f>CEILING((PRODUCT(1909,USD)),10)</f>
        <v>123400</v>
      </c>
      <c r="I105" s="8">
        <v>0.3</v>
      </c>
      <c r="J105" s="9">
        <f>CEILING(H105*0.7,10)</f>
        <v>86380</v>
      </c>
    </row>
    <row r="106" spans="1:10" ht="30" customHeight="1" x14ac:dyDescent="0.25">
      <c r="A106" s="124"/>
      <c r="B106" s="105" t="s">
        <v>1148</v>
      </c>
      <c r="C106" s="5" t="s">
        <v>51</v>
      </c>
      <c r="D106" s="5" t="s">
        <v>53</v>
      </c>
      <c r="E106" s="5" t="s">
        <v>14</v>
      </c>
      <c r="F106" s="5" t="s">
        <v>13</v>
      </c>
      <c r="G106" s="5" t="s">
        <v>16</v>
      </c>
      <c r="H106" s="7">
        <f>CEILING((PRODUCT(1692,USD)),10)</f>
        <v>109380</v>
      </c>
      <c r="I106" s="8">
        <v>0.3</v>
      </c>
      <c r="J106" s="9">
        <f>CEILING(H106*0.7,10)</f>
        <v>76570</v>
      </c>
    </row>
    <row r="107" spans="1:10" ht="30" customHeight="1" x14ac:dyDescent="0.25">
      <c r="A107" s="124"/>
      <c r="B107" s="105" t="s">
        <v>1149</v>
      </c>
      <c r="C107" s="5" t="s">
        <v>52</v>
      </c>
      <c r="D107" s="5" t="s">
        <v>53</v>
      </c>
      <c r="E107" s="5" t="s">
        <v>14</v>
      </c>
      <c r="F107" s="5" t="s">
        <v>15</v>
      </c>
      <c r="G107" s="5" t="s">
        <v>16</v>
      </c>
      <c r="H107" s="7">
        <f>CEILING((PRODUCT(2509,USD)),10)</f>
        <v>162190</v>
      </c>
      <c r="I107" s="8">
        <v>0.3</v>
      </c>
      <c r="J107" s="9">
        <f>CEILING(H107*0.7,10)</f>
        <v>113540</v>
      </c>
    </row>
    <row r="108" spans="1:10" ht="30" customHeight="1" x14ac:dyDescent="0.25">
      <c r="A108" s="124"/>
      <c r="B108" s="105" t="s">
        <v>1150</v>
      </c>
      <c r="C108" s="5" t="s">
        <v>52</v>
      </c>
      <c r="D108" s="5" t="s">
        <v>53</v>
      </c>
      <c r="E108" s="5" t="s">
        <v>14</v>
      </c>
      <c r="F108" s="5" t="s">
        <v>13</v>
      </c>
      <c r="G108" s="5" t="s">
        <v>16</v>
      </c>
      <c r="H108" s="7">
        <f>CEILING((PRODUCT(2045,USD)),10)</f>
        <v>132190</v>
      </c>
      <c r="I108" s="8">
        <v>0.3</v>
      </c>
      <c r="J108" s="9">
        <f>CEILING(H108*0.7,10)</f>
        <v>92540</v>
      </c>
    </row>
    <row r="109" spans="1:10" ht="30" customHeight="1" x14ac:dyDescent="0.25">
      <c r="A109" s="124"/>
      <c r="B109" s="105" t="s">
        <v>1151</v>
      </c>
      <c r="C109" s="5" t="s">
        <v>58</v>
      </c>
      <c r="D109" s="5" t="s">
        <v>53</v>
      </c>
      <c r="E109" s="5" t="s">
        <v>14</v>
      </c>
      <c r="F109" s="5" t="s">
        <v>15</v>
      </c>
      <c r="G109" s="5" t="s">
        <v>16</v>
      </c>
      <c r="H109" s="7">
        <f>CEILING((PRODUCT(2602,USD)),10)</f>
        <v>168200</v>
      </c>
      <c r="I109" s="8">
        <v>0.3</v>
      </c>
      <c r="J109" s="9">
        <f>CEILING(H109*0.7,10)</f>
        <v>117740</v>
      </c>
    </row>
    <row r="110" spans="1:10" ht="20.100000000000001" customHeight="1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</row>
    <row r="111" spans="1:10" ht="39.950000000000003" customHeight="1" x14ac:dyDescent="0.25">
      <c r="A111" s="117" t="s">
        <v>1863</v>
      </c>
      <c r="B111" s="118"/>
      <c r="C111" s="118"/>
      <c r="D111" s="118"/>
      <c r="E111" s="118"/>
      <c r="F111" s="118"/>
      <c r="G111" s="118"/>
      <c r="H111" s="118"/>
      <c r="I111" s="118"/>
      <c r="J111" s="118"/>
    </row>
    <row r="112" spans="1:10" ht="30" customHeight="1" x14ac:dyDescent="0.25">
      <c r="A112" s="5"/>
      <c r="B112" s="3" t="s">
        <v>2</v>
      </c>
      <c r="C112" s="4" t="s">
        <v>48</v>
      </c>
      <c r="D112" s="4" t="s">
        <v>49</v>
      </c>
      <c r="E112" s="3" t="s">
        <v>9</v>
      </c>
      <c r="F112" s="3" t="s">
        <v>10</v>
      </c>
      <c r="G112" s="4" t="s">
        <v>11</v>
      </c>
      <c r="H112" s="4" t="s">
        <v>17</v>
      </c>
      <c r="I112" s="4" t="s">
        <v>12</v>
      </c>
      <c r="J112" s="4" t="s">
        <v>18</v>
      </c>
    </row>
    <row r="113" spans="1:10" ht="21.95" customHeight="1" x14ac:dyDescent="0.25">
      <c r="A113" s="124"/>
      <c r="B113" s="105" t="s">
        <v>1152</v>
      </c>
      <c r="C113" s="5" t="s">
        <v>52</v>
      </c>
      <c r="D113" s="5" t="s">
        <v>54</v>
      </c>
      <c r="E113" s="5" t="s">
        <v>31</v>
      </c>
      <c r="F113" s="5" t="s">
        <v>15</v>
      </c>
      <c r="G113" s="15" t="s">
        <v>433</v>
      </c>
      <c r="H113" s="7">
        <f>CEILING((PRODUCT(1528,USD)),10)</f>
        <v>98770</v>
      </c>
      <c r="I113" s="8">
        <v>0.3</v>
      </c>
      <c r="J113" s="9">
        <f>CEILING(H113*0.7,10)</f>
        <v>69140</v>
      </c>
    </row>
    <row r="114" spans="1:10" ht="21.95" customHeight="1" x14ac:dyDescent="0.25">
      <c r="A114" s="124"/>
      <c r="B114" s="105" t="s">
        <v>1153</v>
      </c>
      <c r="C114" s="5" t="s">
        <v>52</v>
      </c>
      <c r="D114" s="5" t="s">
        <v>54</v>
      </c>
      <c r="E114" s="5" t="s">
        <v>31</v>
      </c>
      <c r="F114" s="5" t="s">
        <v>13</v>
      </c>
      <c r="G114" s="15" t="s">
        <v>433</v>
      </c>
      <c r="H114" s="7">
        <f>CEILING((PRODUCT(1314,USD)),10)</f>
        <v>84940</v>
      </c>
      <c r="I114" s="8">
        <v>0.3</v>
      </c>
      <c r="J114" s="9">
        <f t="shared" ref="J114:J130" si="5">CEILING(H114*0.7,10)</f>
        <v>59460</v>
      </c>
    </row>
    <row r="115" spans="1:10" ht="21.95" customHeight="1" x14ac:dyDescent="0.25">
      <c r="A115" s="124"/>
      <c r="B115" s="105" t="s">
        <v>1154</v>
      </c>
      <c r="C115" s="5" t="s">
        <v>59</v>
      </c>
      <c r="D115" s="5" t="s">
        <v>54</v>
      </c>
      <c r="E115" s="5" t="s">
        <v>31</v>
      </c>
      <c r="F115" s="5" t="s">
        <v>15</v>
      </c>
      <c r="G115" s="15" t="s">
        <v>433</v>
      </c>
      <c r="H115" s="7">
        <f>CEILING((PRODUCT(1528,USD)),10)</f>
        <v>98770</v>
      </c>
      <c r="I115" s="8">
        <v>0.3</v>
      </c>
      <c r="J115" s="9">
        <f t="shared" si="5"/>
        <v>69140</v>
      </c>
    </row>
    <row r="116" spans="1:10" ht="21.95" customHeight="1" x14ac:dyDescent="0.25">
      <c r="A116" s="124"/>
      <c r="B116" s="105" t="s">
        <v>1155</v>
      </c>
      <c r="C116" s="5" t="s">
        <v>59</v>
      </c>
      <c r="D116" s="5" t="s">
        <v>54</v>
      </c>
      <c r="E116" s="5" t="s">
        <v>31</v>
      </c>
      <c r="F116" s="5" t="s">
        <v>13</v>
      </c>
      <c r="G116" s="15" t="s">
        <v>433</v>
      </c>
      <c r="H116" s="7">
        <f>CEILING((PRODUCT(1357,USD)),10)</f>
        <v>87720</v>
      </c>
      <c r="I116" s="8">
        <v>0.3</v>
      </c>
      <c r="J116" s="9">
        <f t="shared" si="5"/>
        <v>61410</v>
      </c>
    </row>
    <row r="117" spans="1:10" ht="21.95" customHeight="1" x14ac:dyDescent="0.25">
      <c r="A117" s="124"/>
      <c r="B117" s="105" t="s">
        <v>1156</v>
      </c>
      <c r="C117" s="5" t="s">
        <v>405</v>
      </c>
      <c r="D117" s="5" t="s">
        <v>54</v>
      </c>
      <c r="E117" s="5" t="s">
        <v>31</v>
      </c>
      <c r="F117" s="5" t="s">
        <v>15</v>
      </c>
      <c r="G117" s="15" t="s">
        <v>433</v>
      </c>
      <c r="H117" s="7">
        <f>CEILING((PRODUCT(1654,USD)),10)</f>
        <v>106920</v>
      </c>
      <c r="I117" s="8">
        <v>0.3</v>
      </c>
      <c r="J117" s="9">
        <f t="shared" si="5"/>
        <v>74850</v>
      </c>
    </row>
    <row r="118" spans="1:10" ht="21.95" customHeight="1" x14ac:dyDescent="0.25">
      <c r="A118" s="124"/>
      <c r="B118" s="105" t="s">
        <v>1157</v>
      </c>
      <c r="C118" s="5" t="s">
        <v>405</v>
      </c>
      <c r="D118" s="5" t="s">
        <v>54</v>
      </c>
      <c r="E118" s="5" t="s">
        <v>31</v>
      </c>
      <c r="F118" s="5" t="s">
        <v>13</v>
      </c>
      <c r="G118" s="15" t="s">
        <v>433</v>
      </c>
      <c r="H118" s="7">
        <f>CEILING((PRODUCT(1452,USD)),10)</f>
        <v>93860</v>
      </c>
      <c r="I118" s="8">
        <v>0.3</v>
      </c>
      <c r="J118" s="9">
        <f t="shared" si="5"/>
        <v>65710</v>
      </c>
    </row>
    <row r="119" spans="1:10" ht="21.95" customHeight="1" x14ac:dyDescent="0.25">
      <c r="A119" s="124"/>
      <c r="B119" s="105" t="s">
        <v>1158</v>
      </c>
      <c r="C119" s="5" t="s">
        <v>103</v>
      </c>
      <c r="D119" s="5" t="s">
        <v>55</v>
      </c>
      <c r="E119" s="5" t="s">
        <v>31</v>
      </c>
      <c r="F119" s="5" t="s">
        <v>15</v>
      </c>
      <c r="G119" s="15" t="s">
        <v>1006</v>
      </c>
      <c r="H119" s="7">
        <f>CEILING((PRODUCT(1423,USD)),10)</f>
        <v>91990</v>
      </c>
      <c r="I119" s="8">
        <v>0.3</v>
      </c>
      <c r="J119" s="9">
        <f t="shared" si="5"/>
        <v>64400</v>
      </c>
    </row>
    <row r="120" spans="1:10" ht="21.95" customHeight="1" x14ac:dyDescent="0.25">
      <c r="A120" s="124"/>
      <c r="B120" s="105" t="s">
        <v>1159</v>
      </c>
      <c r="C120" s="5" t="s">
        <v>103</v>
      </c>
      <c r="D120" s="5" t="s">
        <v>55</v>
      </c>
      <c r="E120" s="5" t="s">
        <v>31</v>
      </c>
      <c r="F120" s="5" t="s">
        <v>13</v>
      </c>
      <c r="G120" s="15" t="s">
        <v>1006</v>
      </c>
      <c r="H120" s="7">
        <f>CEILING((PRODUCT(1252,USD)),10)</f>
        <v>80930</v>
      </c>
      <c r="I120" s="8">
        <v>0.3</v>
      </c>
      <c r="J120" s="9">
        <f t="shared" si="5"/>
        <v>56660</v>
      </c>
    </row>
    <row r="121" spans="1:10" ht="21.95" customHeight="1" x14ac:dyDescent="0.25">
      <c r="A121" s="124"/>
      <c r="B121" s="105" t="s">
        <v>1160</v>
      </c>
      <c r="C121" s="5" t="s">
        <v>1005</v>
      </c>
      <c r="D121" s="5" t="s">
        <v>55</v>
      </c>
      <c r="E121" s="5" t="s">
        <v>31</v>
      </c>
      <c r="F121" s="5" t="s">
        <v>15</v>
      </c>
      <c r="G121" s="15" t="s">
        <v>1006</v>
      </c>
      <c r="H121" s="7">
        <f>CEILING((PRODUCT(1470,USD)),10)</f>
        <v>95030</v>
      </c>
      <c r="I121" s="8">
        <v>0.3</v>
      </c>
      <c r="J121" s="9">
        <f t="shared" si="5"/>
        <v>66530</v>
      </c>
    </row>
    <row r="122" spans="1:10" ht="21.95" customHeight="1" x14ac:dyDescent="0.25">
      <c r="A122" s="124"/>
      <c r="B122" s="105" t="s">
        <v>1161</v>
      </c>
      <c r="C122" s="5" t="s">
        <v>1005</v>
      </c>
      <c r="D122" s="5" t="s">
        <v>55</v>
      </c>
      <c r="E122" s="5" t="s">
        <v>31</v>
      </c>
      <c r="F122" s="5" t="s">
        <v>13</v>
      </c>
      <c r="G122" s="15" t="s">
        <v>1006</v>
      </c>
      <c r="H122" s="7">
        <f>CEILING((PRODUCT(1295,USD)),10)</f>
        <v>83710</v>
      </c>
      <c r="I122" s="8">
        <v>0.3</v>
      </c>
      <c r="J122" s="9">
        <f t="shared" si="5"/>
        <v>58600</v>
      </c>
    </row>
    <row r="123" spans="1:10" ht="21.95" customHeight="1" x14ac:dyDescent="0.25">
      <c r="A123" s="124"/>
      <c r="B123" s="105" t="s">
        <v>1162</v>
      </c>
      <c r="C123" s="5" t="s">
        <v>64</v>
      </c>
      <c r="D123" s="5" t="s">
        <v>55</v>
      </c>
      <c r="E123" s="5" t="s">
        <v>31</v>
      </c>
      <c r="F123" s="5" t="s">
        <v>15</v>
      </c>
      <c r="G123" s="15" t="s">
        <v>1006</v>
      </c>
      <c r="H123" s="7">
        <f>CEILING((PRODUCT(1460,USD)),10)</f>
        <v>94380</v>
      </c>
      <c r="I123" s="8">
        <v>0.3</v>
      </c>
      <c r="J123" s="9">
        <f t="shared" si="5"/>
        <v>66070</v>
      </c>
    </row>
    <row r="124" spans="1:10" ht="21.95" customHeight="1" x14ac:dyDescent="0.25">
      <c r="A124" s="124"/>
      <c r="B124" s="105" t="s">
        <v>1163</v>
      </c>
      <c r="C124" s="5" t="s">
        <v>64</v>
      </c>
      <c r="D124" s="5" t="s">
        <v>55</v>
      </c>
      <c r="E124" s="5" t="s">
        <v>31</v>
      </c>
      <c r="F124" s="5" t="s">
        <v>13</v>
      </c>
      <c r="G124" s="15" t="s">
        <v>1006</v>
      </c>
      <c r="H124" s="7">
        <f>CEILING((PRODUCT(1328,USD)),10)</f>
        <v>85850</v>
      </c>
      <c r="I124" s="8">
        <v>0.3</v>
      </c>
      <c r="J124" s="9">
        <f t="shared" si="5"/>
        <v>60100</v>
      </c>
    </row>
    <row r="125" spans="1:10" ht="21.95" customHeight="1" x14ac:dyDescent="0.25">
      <c r="A125" s="124"/>
      <c r="B125" s="105" t="s">
        <v>1164</v>
      </c>
      <c r="C125" s="5" t="s">
        <v>106</v>
      </c>
      <c r="D125" s="5" t="s">
        <v>55</v>
      </c>
      <c r="E125" s="5" t="s">
        <v>31</v>
      </c>
      <c r="F125" s="5" t="s">
        <v>15</v>
      </c>
      <c r="G125" s="15" t="s">
        <v>1006</v>
      </c>
      <c r="H125" s="7">
        <f>CEILING((PRODUCT(1566,USD)),10)</f>
        <v>101230</v>
      </c>
      <c r="I125" s="8">
        <v>0.3</v>
      </c>
      <c r="J125" s="9">
        <f t="shared" si="5"/>
        <v>70870</v>
      </c>
    </row>
    <row r="126" spans="1:10" ht="21.95" customHeight="1" x14ac:dyDescent="0.25">
      <c r="A126" s="124"/>
      <c r="B126" s="105" t="s">
        <v>1165</v>
      </c>
      <c r="C126" s="5" t="s">
        <v>106</v>
      </c>
      <c r="D126" s="5" t="s">
        <v>55</v>
      </c>
      <c r="E126" s="5" t="s">
        <v>31</v>
      </c>
      <c r="F126" s="5" t="s">
        <v>13</v>
      </c>
      <c r="G126" s="15" t="s">
        <v>1006</v>
      </c>
      <c r="H126" s="7">
        <f>CEILING((PRODUCT(1387,USD)),10)</f>
        <v>89660</v>
      </c>
      <c r="I126" s="8">
        <v>0.3</v>
      </c>
      <c r="J126" s="9">
        <f t="shared" si="5"/>
        <v>62770</v>
      </c>
    </row>
    <row r="127" spans="1:10" ht="21.95" customHeight="1" x14ac:dyDescent="0.25">
      <c r="A127" s="124"/>
      <c r="B127" s="105" t="s">
        <v>1166</v>
      </c>
      <c r="C127" s="5" t="s">
        <v>437</v>
      </c>
      <c r="D127" s="5" t="s">
        <v>55</v>
      </c>
      <c r="E127" s="5" t="s">
        <v>31</v>
      </c>
      <c r="F127" s="5" t="s">
        <v>15</v>
      </c>
      <c r="G127" s="15" t="s">
        <v>1006</v>
      </c>
      <c r="H127" s="7">
        <f>CEILING((PRODUCT(1813,USD)),10)</f>
        <v>117200</v>
      </c>
      <c r="I127" s="8">
        <v>0.3</v>
      </c>
      <c r="J127" s="9">
        <f t="shared" si="5"/>
        <v>82040</v>
      </c>
    </row>
    <row r="128" spans="1:10" ht="21.95" customHeight="1" x14ac:dyDescent="0.25">
      <c r="A128" s="124"/>
      <c r="B128" s="105" t="s">
        <v>1167</v>
      </c>
      <c r="C128" s="5" t="s">
        <v>106</v>
      </c>
      <c r="D128" s="5" t="s">
        <v>56</v>
      </c>
      <c r="E128" s="5" t="s">
        <v>273</v>
      </c>
      <c r="F128" s="5" t="s">
        <v>15</v>
      </c>
      <c r="G128" s="15" t="s">
        <v>1006</v>
      </c>
      <c r="H128" s="7">
        <f>CEILING((PRODUCT(1087,USD)),10)</f>
        <v>70270</v>
      </c>
      <c r="I128" s="8">
        <v>0.3</v>
      </c>
      <c r="J128" s="9">
        <f t="shared" si="5"/>
        <v>49190</v>
      </c>
    </row>
    <row r="129" spans="1:10" ht="21.95" customHeight="1" x14ac:dyDescent="0.25">
      <c r="A129" s="124"/>
      <c r="B129" s="105" t="s">
        <v>1168</v>
      </c>
      <c r="C129" s="5" t="s">
        <v>106</v>
      </c>
      <c r="D129" s="5" t="s">
        <v>56</v>
      </c>
      <c r="E129" s="5" t="s">
        <v>273</v>
      </c>
      <c r="F129" s="5" t="s">
        <v>13</v>
      </c>
      <c r="G129" s="15" t="s">
        <v>1006</v>
      </c>
      <c r="H129" s="7">
        <f>CEILING((PRODUCT(931,USD)),10)</f>
        <v>60180</v>
      </c>
      <c r="I129" s="8">
        <v>0.3</v>
      </c>
      <c r="J129" s="9">
        <f t="shared" si="5"/>
        <v>42130</v>
      </c>
    </row>
    <row r="130" spans="1:10" ht="21.95" customHeight="1" x14ac:dyDescent="0.25">
      <c r="A130" s="124"/>
      <c r="B130" s="105" t="s">
        <v>1169</v>
      </c>
      <c r="C130" s="5" t="s">
        <v>108</v>
      </c>
      <c r="D130" s="5" t="s">
        <v>56</v>
      </c>
      <c r="E130" s="5" t="s">
        <v>31</v>
      </c>
      <c r="F130" s="5" t="s">
        <v>15</v>
      </c>
      <c r="G130" s="15" t="s">
        <v>1006</v>
      </c>
      <c r="H130" s="7">
        <f>CEILING((PRODUCT(1678,USD)),10)</f>
        <v>108470</v>
      </c>
      <c r="I130" s="8">
        <v>0.3</v>
      </c>
      <c r="J130" s="9">
        <f t="shared" si="5"/>
        <v>75930</v>
      </c>
    </row>
    <row r="131" spans="1:10" ht="21.95" customHeight="1" x14ac:dyDescent="0.25">
      <c r="A131" s="124"/>
      <c r="B131" s="105" t="s">
        <v>1170</v>
      </c>
      <c r="C131" s="5" t="s">
        <v>108</v>
      </c>
      <c r="D131" s="5" t="s">
        <v>56</v>
      </c>
      <c r="E131" s="5" t="s">
        <v>31</v>
      </c>
      <c r="F131" s="5" t="s">
        <v>13</v>
      </c>
      <c r="G131" s="15" t="s">
        <v>1006</v>
      </c>
      <c r="H131" s="7">
        <f>CEILING((PRODUCT(1189,USD)),10)</f>
        <v>76860</v>
      </c>
      <c r="I131" s="8">
        <v>0.3</v>
      </c>
      <c r="J131" s="9">
        <f>CEILING(H131*0.7,10)</f>
        <v>53810</v>
      </c>
    </row>
    <row r="132" spans="1:10" ht="20.100000000000001" customHeight="1" x14ac:dyDescent="0.25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</row>
    <row r="133" spans="1:10" ht="39.950000000000003" customHeight="1" x14ac:dyDescent="0.25">
      <c r="A133" s="129" t="s">
        <v>1602</v>
      </c>
      <c r="B133" s="130"/>
      <c r="C133" s="130"/>
      <c r="D133" s="130"/>
      <c r="E133" s="130"/>
      <c r="F133" s="130"/>
      <c r="G133" s="130"/>
      <c r="H133" s="130"/>
      <c r="I133" s="130"/>
      <c r="J133" s="130"/>
    </row>
    <row r="134" spans="1:10" ht="30" customHeight="1" x14ac:dyDescent="0.25">
      <c r="A134" s="5"/>
      <c r="B134" s="39" t="s">
        <v>2</v>
      </c>
      <c r="C134" s="4" t="s">
        <v>48</v>
      </c>
      <c r="D134" s="4" t="s">
        <v>49</v>
      </c>
      <c r="E134" s="3" t="s">
        <v>9</v>
      </c>
      <c r="F134" s="3" t="s">
        <v>10</v>
      </c>
      <c r="G134" s="4" t="s">
        <v>11</v>
      </c>
      <c r="H134" s="4" t="s">
        <v>17</v>
      </c>
      <c r="I134" s="4" t="s">
        <v>12</v>
      </c>
      <c r="J134" s="4" t="s">
        <v>18</v>
      </c>
    </row>
    <row r="135" spans="1:10" ht="30" customHeight="1" x14ac:dyDescent="0.25">
      <c r="A135" s="132"/>
      <c r="B135" s="75" t="s">
        <v>665</v>
      </c>
      <c r="C135" s="5" t="s">
        <v>629</v>
      </c>
      <c r="D135" s="5" t="s">
        <v>668</v>
      </c>
      <c r="E135" s="5" t="s">
        <v>1058</v>
      </c>
      <c r="F135" s="5" t="s">
        <v>13</v>
      </c>
      <c r="G135" s="5" t="s">
        <v>16</v>
      </c>
      <c r="H135" s="7">
        <f>CEILING((PRODUCT(1357,USD)),10)</f>
        <v>87720</v>
      </c>
      <c r="I135" s="8">
        <v>0.3</v>
      </c>
      <c r="J135" s="9">
        <f>CEILING(H135*0.7,10)</f>
        <v>61410</v>
      </c>
    </row>
    <row r="136" spans="1:10" ht="30" customHeight="1" x14ac:dyDescent="0.25">
      <c r="A136" s="133"/>
      <c r="B136" s="105" t="s">
        <v>666</v>
      </c>
      <c r="C136" s="5" t="s">
        <v>629</v>
      </c>
      <c r="D136" s="5" t="s">
        <v>669</v>
      </c>
      <c r="E136" s="60" t="s">
        <v>1058</v>
      </c>
      <c r="F136" s="5" t="s">
        <v>13</v>
      </c>
      <c r="G136" s="5" t="s">
        <v>16</v>
      </c>
      <c r="H136" s="7">
        <f>CEILING((PRODUCT(1789,USD)),10)</f>
        <v>115650</v>
      </c>
      <c r="I136" s="8">
        <v>0.3</v>
      </c>
      <c r="J136" s="9">
        <f>CEILING(H136*0.7,10)</f>
        <v>80960</v>
      </c>
    </row>
    <row r="137" spans="1:10" ht="30" customHeight="1" x14ac:dyDescent="0.25">
      <c r="A137" s="133"/>
      <c r="B137" s="105" t="s">
        <v>1171</v>
      </c>
      <c r="C137" s="42" t="s">
        <v>1172</v>
      </c>
      <c r="D137" s="42" t="s">
        <v>670</v>
      </c>
      <c r="E137" s="60" t="s">
        <v>1058</v>
      </c>
      <c r="F137" s="42" t="s">
        <v>13</v>
      </c>
      <c r="G137" s="42" t="s">
        <v>16</v>
      </c>
      <c r="H137" s="7">
        <f>CEILING((PRODUCT(1950,USD)),10)</f>
        <v>126050</v>
      </c>
      <c r="I137" s="8">
        <v>0.3</v>
      </c>
      <c r="J137" s="9">
        <f>CEILING(H137*0.7,10)</f>
        <v>88240</v>
      </c>
    </row>
    <row r="138" spans="1:10" ht="30" customHeight="1" x14ac:dyDescent="0.25">
      <c r="A138" s="133"/>
      <c r="B138" s="105" t="s">
        <v>1337</v>
      </c>
      <c r="C138" s="47" t="s">
        <v>1172</v>
      </c>
      <c r="D138" s="47" t="s">
        <v>670</v>
      </c>
      <c r="E138" s="60" t="s">
        <v>1058</v>
      </c>
      <c r="F138" s="47" t="s">
        <v>13</v>
      </c>
      <c r="G138" s="53" t="s">
        <v>16</v>
      </c>
      <c r="H138" s="7">
        <f>CEILING((PRODUCT(2371,USD)),10)</f>
        <v>153270</v>
      </c>
      <c r="I138" s="8">
        <v>0.3</v>
      </c>
      <c r="J138" s="9">
        <f>CEILING(H138*0.7,10)</f>
        <v>107290</v>
      </c>
    </row>
    <row r="139" spans="1:10" ht="30" customHeight="1" x14ac:dyDescent="0.25">
      <c r="A139" s="134"/>
      <c r="B139" s="105" t="s">
        <v>1338</v>
      </c>
      <c r="C139" s="47" t="s">
        <v>51</v>
      </c>
      <c r="D139" s="47" t="s">
        <v>670</v>
      </c>
      <c r="E139" s="60" t="s">
        <v>1058</v>
      </c>
      <c r="F139" s="47" t="s">
        <v>13</v>
      </c>
      <c r="G139" s="53" t="s">
        <v>16</v>
      </c>
      <c r="H139" s="7">
        <f>CEILING((PRODUCT(2529,USD)),10)</f>
        <v>163480</v>
      </c>
      <c r="I139" s="8">
        <v>0.3</v>
      </c>
      <c r="J139" s="9">
        <f>CEILING(H139*0.7,10)</f>
        <v>114440</v>
      </c>
    </row>
    <row r="140" spans="1:10" ht="20.100000000000001" customHeight="1" x14ac:dyDescent="0.25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</row>
    <row r="141" spans="1:10" ht="39.950000000000003" customHeight="1" x14ac:dyDescent="0.25">
      <c r="A141" s="129" t="s">
        <v>1864</v>
      </c>
      <c r="B141" s="130"/>
      <c r="C141" s="130"/>
      <c r="D141" s="130"/>
      <c r="E141" s="130"/>
      <c r="F141" s="130"/>
      <c r="G141" s="130"/>
      <c r="H141" s="130"/>
      <c r="I141" s="130"/>
      <c r="J141" s="130"/>
    </row>
    <row r="142" spans="1:10" ht="45" customHeight="1" x14ac:dyDescent="0.25">
      <c r="A142" s="49"/>
      <c r="B142" s="39" t="s">
        <v>2</v>
      </c>
      <c r="C142" s="4" t="s">
        <v>48</v>
      </c>
      <c r="D142" s="4" t="s">
        <v>1341</v>
      </c>
      <c r="E142" s="39" t="s">
        <v>9</v>
      </c>
      <c r="F142" s="39" t="s">
        <v>10</v>
      </c>
      <c r="G142" s="4" t="s">
        <v>11</v>
      </c>
      <c r="H142" s="4" t="s">
        <v>17</v>
      </c>
      <c r="I142" s="4" t="s">
        <v>12</v>
      </c>
      <c r="J142" s="4" t="s">
        <v>18</v>
      </c>
    </row>
    <row r="143" spans="1:10" ht="120" customHeight="1" x14ac:dyDescent="0.25">
      <c r="A143" s="49"/>
      <c r="B143" s="105" t="s">
        <v>1339</v>
      </c>
      <c r="C143" s="49" t="s">
        <v>241</v>
      </c>
      <c r="D143" s="48" t="s">
        <v>1340</v>
      </c>
      <c r="E143" s="49" t="s">
        <v>222</v>
      </c>
      <c r="F143" s="49" t="s">
        <v>13</v>
      </c>
      <c r="G143" s="49" t="s">
        <v>222</v>
      </c>
      <c r="H143" s="7">
        <f>CEILING((PRODUCT(395,USD)),10)</f>
        <v>25540</v>
      </c>
      <c r="I143" s="8">
        <v>0.3</v>
      </c>
      <c r="J143" s="9">
        <f>CEILING(H143*0.7,10)</f>
        <v>17880</v>
      </c>
    </row>
    <row r="144" spans="1:10" ht="20.100000000000001" customHeight="1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</row>
    <row r="145" spans="1:10" ht="39.950000000000003" customHeight="1" x14ac:dyDescent="0.25">
      <c r="A145" s="129" t="s">
        <v>1865</v>
      </c>
      <c r="B145" s="130"/>
      <c r="C145" s="130"/>
      <c r="D145" s="130"/>
      <c r="E145" s="130"/>
      <c r="F145" s="130"/>
      <c r="G145" s="130"/>
      <c r="H145" s="130"/>
      <c r="I145" s="130"/>
      <c r="J145" s="130"/>
    </row>
    <row r="146" spans="1:10" ht="30" customHeight="1" x14ac:dyDescent="0.25">
      <c r="A146" s="38"/>
      <c r="B146" s="39" t="s">
        <v>2</v>
      </c>
      <c r="C146" s="4" t="s">
        <v>48</v>
      </c>
      <c r="D146" s="4" t="s">
        <v>49</v>
      </c>
      <c r="E146" s="39" t="s">
        <v>9</v>
      </c>
      <c r="F146" s="39" t="s">
        <v>10</v>
      </c>
      <c r="G146" s="4" t="s">
        <v>11</v>
      </c>
      <c r="H146" s="4" t="s">
        <v>17</v>
      </c>
      <c r="I146" s="4" t="s">
        <v>12</v>
      </c>
      <c r="J146" s="4" t="s">
        <v>18</v>
      </c>
    </row>
    <row r="147" spans="1:10" ht="24.95" customHeight="1" x14ac:dyDescent="0.25">
      <c r="A147" s="124"/>
      <c r="B147" s="75" t="s">
        <v>1130</v>
      </c>
      <c r="C147" s="38" t="s">
        <v>290</v>
      </c>
      <c r="D147" s="38" t="s">
        <v>55</v>
      </c>
      <c r="E147" s="38" t="s">
        <v>1070</v>
      </c>
      <c r="F147" s="38" t="s">
        <v>13</v>
      </c>
      <c r="G147" s="15" t="s">
        <v>237</v>
      </c>
      <c r="H147" s="7">
        <f>CEILING((PRODUCT(182,USD)),10)</f>
        <v>11770</v>
      </c>
      <c r="I147" s="8">
        <v>0.3</v>
      </c>
      <c r="J147" s="9">
        <f>CEILING(H147*0.7,10)</f>
        <v>8240</v>
      </c>
    </row>
    <row r="148" spans="1:10" ht="24.95" customHeight="1" x14ac:dyDescent="0.25">
      <c r="A148" s="124"/>
      <c r="B148" s="75" t="s">
        <v>1131</v>
      </c>
      <c r="C148" s="38" t="s">
        <v>60</v>
      </c>
      <c r="D148" s="38" t="s">
        <v>56</v>
      </c>
      <c r="E148" s="38" t="s">
        <v>1070</v>
      </c>
      <c r="F148" s="38" t="s">
        <v>13</v>
      </c>
      <c r="G148" s="15" t="s">
        <v>1145</v>
      </c>
      <c r="H148" s="7">
        <f t="shared" ref="H148:H153" si="6">CEILING((PRODUCT(165,USD)),10)</f>
        <v>10670</v>
      </c>
      <c r="I148" s="8">
        <v>0.3</v>
      </c>
      <c r="J148" s="9">
        <f t="shared" ref="J148:J157" si="7">CEILING(H148*0.7,10)</f>
        <v>7470</v>
      </c>
    </row>
    <row r="149" spans="1:10" ht="24.95" customHeight="1" x14ac:dyDescent="0.25">
      <c r="A149" s="124"/>
      <c r="B149" s="75" t="s">
        <v>1132</v>
      </c>
      <c r="C149" s="38" t="s">
        <v>216</v>
      </c>
      <c r="D149" s="38" t="s">
        <v>56</v>
      </c>
      <c r="E149" s="38" t="s">
        <v>1070</v>
      </c>
      <c r="F149" s="38" t="s">
        <v>13</v>
      </c>
      <c r="G149" s="15" t="s">
        <v>1145</v>
      </c>
      <c r="H149" s="7">
        <f t="shared" si="6"/>
        <v>10670</v>
      </c>
      <c r="I149" s="8">
        <v>0.3</v>
      </c>
      <c r="J149" s="9">
        <f t="shared" si="7"/>
        <v>7470</v>
      </c>
    </row>
    <row r="150" spans="1:10" ht="24.95" customHeight="1" x14ac:dyDescent="0.25">
      <c r="A150" s="124"/>
      <c r="B150" s="75" t="s">
        <v>1133</v>
      </c>
      <c r="C150" s="38" t="s">
        <v>217</v>
      </c>
      <c r="D150" s="38" t="s">
        <v>56</v>
      </c>
      <c r="E150" s="38" t="s">
        <v>1070</v>
      </c>
      <c r="F150" s="38" t="s">
        <v>13</v>
      </c>
      <c r="G150" s="15" t="s">
        <v>1145</v>
      </c>
      <c r="H150" s="7">
        <f t="shared" si="6"/>
        <v>10670</v>
      </c>
      <c r="I150" s="8">
        <v>0.3</v>
      </c>
      <c r="J150" s="9">
        <f t="shared" si="7"/>
        <v>7470</v>
      </c>
    </row>
    <row r="151" spans="1:10" ht="24.95" customHeight="1" x14ac:dyDescent="0.25">
      <c r="A151" s="124"/>
      <c r="B151" s="75" t="s">
        <v>1134</v>
      </c>
      <c r="C151" s="38" t="s">
        <v>218</v>
      </c>
      <c r="D151" s="38" t="s">
        <v>271</v>
      </c>
      <c r="E151" s="38" t="s">
        <v>1070</v>
      </c>
      <c r="F151" s="38" t="s">
        <v>13</v>
      </c>
      <c r="G151" s="15" t="s">
        <v>1145</v>
      </c>
      <c r="H151" s="7">
        <f t="shared" si="6"/>
        <v>10670</v>
      </c>
      <c r="I151" s="8">
        <v>0.3</v>
      </c>
      <c r="J151" s="9">
        <f t="shared" si="7"/>
        <v>7470</v>
      </c>
    </row>
    <row r="152" spans="1:10" ht="24.95" customHeight="1" x14ac:dyDescent="0.25">
      <c r="A152" s="124"/>
      <c r="B152" s="75" t="s">
        <v>1135</v>
      </c>
      <c r="C152" s="38" t="s">
        <v>270</v>
      </c>
      <c r="D152" s="38" t="s">
        <v>57</v>
      </c>
      <c r="E152" s="38" t="s">
        <v>1070</v>
      </c>
      <c r="F152" s="38" t="s">
        <v>13</v>
      </c>
      <c r="G152" s="15" t="s">
        <v>1145</v>
      </c>
      <c r="H152" s="7">
        <f t="shared" si="6"/>
        <v>10670</v>
      </c>
      <c r="I152" s="8">
        <v>0.3</v>
      </c>
      <c r="J152" s="9">
        <f t="shared" si="7"/>
        <v>7470</v>
      </c>
    </row>
    <row r="153" spans="1:10" ht="24.95" customHeight="1" x14ac:dyDescent="0.25">
      <c r="A153" s="124"/>
      <c r="B153" s="75" t="s">
        <v>1136</v>
      </c>
      <c r="C153" s="38" t="s">
        <v>69</v>
      </c>
      <c r="D153" s="38" t="s">
        <v>57</v>
      </c>
      <c r="E153" s="38" t="s">
        <v>1070</v>
      </c>
      <c r="F153" s="38" t="s">
        <v>13</v>
      </c>
      <c r="G153" s="15" t="s">
        <v>1145</v>
      </c>
      <c r="H153" s="7">
        <f t="shared" si="6"/>
        <v>10670</v>
      </c>
      <c r="I153" s="8">
        <v>0.3</v>
      </c>
      <c r="J153" s="9">
        <f t="shared" si="7"/>
        <v>7470</v>
      </c>
    </row>
    <row r="154" spans="1:10" ht="24.95" customHeight="1" x14ac:dyDescent="0.25">
      <c r="A154" s="124"/>
      <c r="B154" s="75" t="s">
        <v>1137</v>
      </c>
      <c r="C154" s="38" t="s">
        <v>1142</v>
      </c>
      <c r="D154" s="38" t="s">
        <v>56</v>
      </c>
      <c r="E154" s="38" t="s">
        <v>1070</v>
      </c>
      <c r="F154" s="38" t="s">
        <v>13</v>
      </c>
      <c r="G154" s="15" t="s">
        <v>1146</v>
      </c>
      <c r="H154" s="7">
        <f>CEILING((PRODUCT(170,USD)),10)</f>
        <v>10990</v>
      </c>
      <c r="I154" s="8">
        <v>0.3</v>
      </c>
      <c r="J154" s="9">
        <f t="shared" si="7"/>
        <v>7700</v>
      </c>
    </row>
    <row r="155" spans="1:10" ht="24.95" customHeight="1" x14ac:dyDescent="0.25">
      <c r="A155" s="124"/>
      <c r="B155" s="75" t="s">
        <v>1138</v>
      </c>
      <c r="C155" s="38" t="s">
        <v>105</v>
      </c>
      <c r="D155" s="38" t="s">
        <v>261</v>
      </c>
      <c r="E155" s="38" t="s">
        <v>1070</v>
      </c>
      <c r="F155" s="38" t="s">
        <v>13</v>
      </c>
      <c r="G155" s="15" t="s">
        <v>1146</v>
      </c>
      <c r="H155" s="7">
        <f>CEILING((PRODUCT(170,USD)),10)</f>
        <v>10990</v>
      </c>
      <c r="I155" s="8">
        <v>0.3</v>
      </c>
      <c r="J155" s="9">
        <f t="shared" si="7"/>
        <v>7700</v>
      </c>
    </row>
    <row r="156" spans="1:10" ht="24.95" customHeight="1" x14ac:dyDescent="0.25">
      <c r="A156" s="124"/>
      <c r="B156" s="105" t="s">
        <v>1139</v>
      </c>
      <c r="C156" s="38" t="s">
        <v>1143</v>
      </c>
      <c r="D156" s="38" t="s">
        <v>271</v>
      </c>
      <c r="E156" s="38" t="s">
        <v>1070</v>
      </c>
      <c r="F156" s="38" t="s">
        <v>13</v>
      </c>
      <c r="G156" s="15" t="s">
        <v>1146</v>
      </c>
      <c r="H156" s="7">
        <f>CEILING((PRODUCT(170,USD)),10)</f>
        <v>10990</v>
      </c>
      <c r="I156" s="8">
        <v>0.3</v>
      </c>
      <c r="J156" s="9">
        <f t="shared" si="7"/>
        <v>7700</v>
      </c>
    </row>
    <row r="157" spans="1:10" ht="24.95" customHeight="1" x14ac:dyDescent="0.25">
      <c r="A157" s="124"/>
      <c r="B157" s="105" t="s">
        <v>1140</v>
      </c>
      <c r="C157" s="38" t="s">
        <v>270</v>
      </c>
      <c r="D157" s="38" t="s">
        <v>271</v>
      </c>
      <c r="E157" s="38" t="s">
        <v>1070</v>
      </c>
      <c r="F157" s="38" t="s">
        <v>13</v>
      </c>
      <c r="G157" s="15" t="s">
        <v>1146</v>
      </c>
      <c r="H157" s="7">
        <f>CEILING((PRODUCT(170,USD)),10)</f>
        <v>10990</v>
      </c>
      <c r="I157" s="8">
        <v>0.3</v>
      </c>
      <c r="J157" s="9">
        <f t="shared" si="7"/>
        <v>7700</v>
      </c>
    </row>
    <row r="158" spans="1:10" ht="24.95" customHeight="1" x14ac:dyDescent="0.25">
      <c r="A158" s="124"/>
      <c r="B158" s="75" t="s">
        <v>1141</v>
      </c>
      <c r="C158" s="38" t="s">
        <v>1144</v>
      </c>
      <c r="D158" s="38" t="s">
        <v>57</v>
      </c>
      <c r="E158" s="38" t="s">
        <v>1070</v>
      </c>
      <c r="F158" s="38" t="s">
        <v>13</v>
      </c>
      <c r="G158" s="15" t="s">
        <v>1146</v>
      </c>
      <c r="H158" s="7">
        <f>CEILING((PRODUCT(170,USD)),10)</f>
        <v>10990</v>
      </c>
      <c r="I158" s="8">
        <v>0.3</v>
      </c>
      <c r="J158" s="9">
        <f>CEILING(H158*0.7,10)</f>
        <v>7700</v>
      </c>
    </row>
    <row r="159" spans="1:10" ht="20.100000000000001" customHeight="1" x14ac:dyDescent="0.25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</row>
    <row r="160" spans="1:10" ht="39.950000000000003" customHeight="1" x14ac:dyDescent="0.25">
      <c r="A160" s="117" t="s">
        <v>1866</v>
      </c>
      <c r="B160" s="118"/>
      <c r="C160" s="118"/>
      <c r="D160" s="118"/>
      <c r="E160" s="118"/>
      <c r="F160" s="118"/>
      <c r="G160" s="118"/>
      <c r="H160" s="118"/>
      <c r="I160" s="118"/>
      <c r="J160" s="118"/>
    </row>
    <row r="161" spans="1:10" ht="30" customHeight="1" x14ac:dyDescent="0.25">
      <c r="A161" s="50"/>
      <c r="B161" s="39" t="s">
        <v>2</v>
      </c>
      <c r="C161" s="4" t="s">
        <v>48</v>
      </c>
      <c r="D161" s="4" t="s">
        <v>49</v>
      </c>
      <c r="E161" s="39" t="s">
        <v>9</v>
      </c>
      <c r="F161" s="39" t="s">
        <v>10</v>
      </c>
      <c r="G161" s="4" t="s">
        <v>11</v>
      </c>
      <c r="H161" s="4" t="s">
        <v>17</v>
      </c>
      <c r="I161" s="4" t="s">
        <v>12</v>
      </c>
      <c r="J161" s="4" t="s">
        <v>18</v>
      </c>
    </row>
    <row r="162" spans="1:10" ht="24.95" customHeight="1" x14ac:dyDescent="0.25">
      <c r="A162" s="124"/>
      <c r="B162" s="75" t="s">
        <v>1344</v>
      </c>
      <c r="C162" s="50" t="s">
        <v>51</v>
      </c>
      <c r="D162" s="50" t="s">
        <v>54</v>
      </c>
      <c r="E162" s="50" t="s">
        <v>31</v>
      </c>
      <c r="F162" s="50" t="s">
        <v>13</v>
      </c>
      <c r="G162" s="15" t="s">
        <v>1356</v>
      </c>
      <c r="H162" s="7">
        <f>CEILING((PRODUCT(474,USD)),10)</f>
        <v>30640</v>
      </c>
      <c r="I162" s="8">
        <v>0.3</v>
      </c>
      <c r="J162" s="9">
        <f>CEILING(H162*0.7,10)</f>
        <v>21450</v>
      </c>
    </row>
    <row r="163" spans="1:10" ht="24.95" customHeight="1" x14ac:dyDescent="0.25">
      <c r="A163" s="124"/>
      <c r="B163" s="75" t="s">
        <v>1345</v>
      </c>
      <c r="C163" s="50" t="s">
        <v>52</v>
      </c>
      <c r="D163" s="50" t="s">
        <v>54</v>
      </c>
      <c r="E163" s="50" t="s">
        <v>31</v>
      </c>
      <c r="F163" s="50" t="s">
        <v>13</v>
      </c>
      <c r="G163" s="15" t="s">
        <v>1356</v>
      </c>
      <c r="H163" s="7">
        <f>CEILING((PRODUCT(527,USD)),10)</f>
        <v>34070</v>
      </c>
      <c r="I163" s="8">
        <v>0.3</v>
      </c>
      <c r="J163" s="9">
        <f t="shared" ref="J163:J172" si="8">CEILING(H163*0.7,10)</f>
        <v>23850</v>
      </c>
    </row>
    <row r="164" spans="1:10" ht="24.95" customHeight="1" x14ac:dyDescent="0.25">
      <c r="A164" s="124"/>
      <c r="B164" s="75" t="s">
        <v>1346</v>
      </c>
      <c r="C164" s="50" t="s">
        <v>59</v>
      </c>
      <c r="D164" s="50" t="s">
        <v>55</v>
      </c>
      <c r="E164" s="50" t="s">
        <v>31</v>
      </c>
      <c r="F164" s="50" t="s">
        <v>13</v>
      </c>
      <c r="G164" s="15" t="s">
        <v>237</v>
      </c>
      <c r="H164" s="7">
        <f>CEILING((PRODUCT(366,USD)),10)</f>
        <v>23660</v>
      </c>
      <c r="I164" s="8">
        <v>0.3</v>
      </c>
      <c r="J164" s="9">
        <f t="shared" si="8"/>
        <v>16570</v>
      </c>
    </row>
    <row r="165" spans="1:10" ht="24.95" customHeight="1" x14ac:dyDescent="0.25">
      <c r="A165" s="124"/>
      <c r="B165" s="75" t="s">
        <v>1347</v>
      </c>
      <c r="C165" s="50" t="s">
        <v>59</v>
      </c>
      <c r="D165" s="50" t="s">
        <v>55</v>
      </c>
      <c r="E165" s="50" t="s">
        <v>31</v>
      </c>
      <c r="F165" s="50" t="s">
        <v>13</v>
      </c>
      <c r="G165" s="15" t="s">
        <v>237</v>
      </c>
      <c r="H165" s="7">
        <f>CEILING((PRODUCT(409,USD)),10)</f>
        <v>26440</v>
      </c>
      <c r="I165" s="8">
        <v>0.3</v>
      </c>
      <c r="J165" s="9">
        <f t="shared" si="8"/>
        <v>18510</v>
      </c>
    </row>
    <row r="166" spans="1:10" ht="24.95" customHeight="1" x14ac:dyDescent="0.25">
      <c r="A166" s="124"/>
      <c r="B166" s="75" t="s">
        <v>1348</v>
      </c>
      <c r="C166" s="50" t="s">
        <v>103</v>
      </c>
      <c r="D166" s="50" t="s">
        <v>55</v>
      </c>
      <c r="E166" s="50" t="s">
        <v>31</v>
      </c>
      <c r="F166" s="50" t="s">
        <v>13</v>
      </c>
      <c r="G166" s="15" t="s">
        <v>237</v>
      </c>
      <c r="H166" s="7">
        <f>CEILING((PRODUCT(422,USD)),10)</f>
        <v>27280</v>
      </c>
      <c r="I166" s="8">
        <v>0.3</v>
      </c>
      <c r="J166" s="9">
        <f t="shared" si="8"/>
        <v>19100</v>
      </c>
    </row>
    <row r="167" spans="1:10" ht="24.95" customHeight="1" x14ac:dyDescent="0.25">
      <c r="A167" s="124"/>
      <c r="B167" s="75" t="s">
        <v>1349</v>
      </c>
      <c r="C167" s="50" t="s">
        <v>63</v>
      </c>
      <c r="D167" s="50" t="s">
        <v>55</v>
      </c>
      <c r="E167" s="50" t="s">
        <v>31</v>
      </c>
      <c r="F167" s="50" t="s">
        <v>13</v>
      </c>
      <c r="G167" s="15" t="s">
        <v>111</v>
      </c>
      <c r="H167" s="7">
        <f>CEILING((PRODUCT(435,USD)),10)</f>
        <v>28120</v>
      </c>
      <c r="I167" s="8">
        <v>0.3</v>
      </c>
      <c r="J167" s="9">
        <f t="shared" si="8"/>
        <v>19690</v>
      </c>
    </row>
    <row r="168" spans="1:10" ht="24.95" customHeight="1" x14ac:dyDescent="0.25">
      <c r="A168" s="124"/>
      <c r="B168" s="75" t="s">
        <v>1350</v>
      </c>
      <c r="C168" s="50" t="s">
        <v>64</v>
      </c>
      <c r="D168" s="50" t="s">
        <v>55</v>
      </c>
      <c r="E168" s="50" t="s">
        <v>31</v>
      </c>
      <c r="F168" s="50" t="s">
        <v>13</v>
      </c>
      <c r="G168" s="15" t="s">
        <v>111</v>
      </c>
      <c r="H168" s="7">
        <f>CEILING((PRODUCT(482,USD)),10)</f>
        <v>31160</v>
      </c>
      <c r="I168" s="8">
        <v>0.3</v>
      </c>
      <c r="J168" s="9">
        <f t="shared" si="8"/>
        <v>21820</v>
      </c>
    </row>
    <row r="169" spans="1:10" ht="24.95" customHeight="1" x14ac:dyDescent="0.25">
      <c r="A169" s="124"/>
      <c r="B169" s="75" t="s">
        <v>1351</v>
      </c>
      <c r="C169" s="50" t="s">
        <v>59</v>
      </c>
      <c r="D169" s="50" t="s">
        <v>56</v>
      </c>
      <c r="E169" s="50" t="s">
        <v>273</v>
      </c>
      <c r="F169" s="50" t="s">
        <v>13</v>
      </c>
      <c r="G169" s="15" t="s">
        <v>237</v>
      </c>
      <c r="H169" s="7">
        <f>CEILING((PRODUCT(274,USD)),10)</f>
        <v>17720</v>
      </c>
      <c r="I169" s="8">
        <v>0.3</v>
      </c>
      <c r="J169" s="9">
        <f t="shared" si="8"/>
        <v>12410</v>
      </c>
    </row>
    <row r="170" spans="1:10" ht="24.95" customHeight="1" x14ac:dyDescent="0.25">
      <c r="A170" s="124"/>
      <c r="B170" s="75" t="s">
        <v>1352</v>
      </c>
      <c r="C170" s="50" t="s">
        <v>103</v>
      </c>
      <c r="D170" s="50" t="s">
        <v>56</v>
      </c>
      <c r="E170" s="50" t="s">
        <v>273</v>
      </c>
      <c r="F170" s="50" t="s">
        <v>13</v>
      </c>
      <c r="G170" s="15" t="s">
        <v>111</v>
      </c>
      <c r="H170" s="7">
        <f>CEILING((PRODUCT(287,USD)),10)</f>
        <v>18560</v>
      </c>
      <c r="I170" s="8">
        <v>0.3</v>
      </c>
      <c r="J170" s="9">
        <f t="shared" si="8"/>
        <v>13000</v>
      </c>
    </row>
    <row r="171" spans="1:10" ht="24.95" customHeight="1" x14ac:dyDescent="0.25">
      <c r="A171" s="124"/>
      <c r="B171" s="75" t="s">
        <v>1353</v>
      </c>
      <c r="C171" s="50" t="s">
        <v>64</v>
      </c>
      <c r="D171" s="50" t="s">
        <v>56</v>
      </c>
      <c r="E171" s="50" t="s">
        <v>31</v>
      </c>
      <c r="F171" s="50" t="s">
        <v>13</v>
      </c>
      <c r="G171" s="15" t="s">
        <v>111</v>
      </c>
      <c r="H171" s="7">
        <f>CEILING((PRODUCT(319,USD)),10)</f>
        <v>20630</v>
      </c>
      <c r="I171" s="8">
        <v>0.3</v>
      </c>
      <c r="J171" s="9">
        <f t="shared" si="8"/>
        <v>14450</v>
      </c>
    </row>
    <row r="172" spans="1:10" ht="24.95" customHeight="1" x14ac:dyDescent="0.25">
      <c r="A172" s="124"/>
      <c r="B172" s="75" t="s">
        <v>1354</v>
      </c>
      <c r="C172" s="50" t="s">
        <v>107</v>
      </c>
      <c r="D172" s="50" t="s">
        <v>56</v>
      </c>
      <c r="E172" s="50" t="s">
        <v>31</v>
      </c>
      <c r="F172" s="50" t="s">
        <v>13</v>
      </c>
      <c r="G172" s="15" t="s">
        <v>111</v>
      </c>
      <c r="H172" s="7">
        <f>CEILING((PRODUCT(422,USD)),10)</f>
        <v>27280</v>
      </c>
      <c r="I172" s="8">
        <v>0.3</v>
      </c>
      <c r="J172" s="9">
        <f t="shared" si="8"/>
        <v>19100</v>
      </c>
    </row>
    <row r="173" spans="1:10" ht="24.95" customHeight="1" x14ac:dyDescent="0.25">
      <c r="A173" s="124"/>
      <c r="B173" s="75" t="s">
        <v>1355</v>
      </c>
      <c r="C173" s="50" t="s">
        <v>108</v>
      </c>
      <c r="D173" s="50" t="s">
        <v>57</v>
      </c>
      <c r="E173" s="50" t="s">
        <v>273</v>
      </c>
      <c r="F173" s="50" t="s">
        <v>13</v>
      </c>
      <c r="G173" s="15" t="s">
        <v>111</v>
      </c>
      <c r="H173" s="7">
        <f>CEILING((PRODUCT(316,USD)),10)</f>
        <v>20430</v>
      </c>
      <c r="I173" s="8">
        <v>0.3</v>
      </c>
      <c r="J173" s="9">
        <f>CEILING(H173*0.7,10)</f>
        <v>14310</v>
      </c>
    </row>
    <row r="174" spans="1:10" ht="20.100000000000001" customHeight="1" x14ac:dyDescent="0.25">
      <c r="A174" s="131"/>
      <c r="B174" s="131"/>
      <c r="C174" s="131"/>
      <c r="D174" s="131"/>
      <c r="E174" s="131"/>
      <c r="F174" s="131"/>
      <c r="G174" s="131"/>
      <c r="H174" s="131"/>
      <c r="I174" s="131"/>
      <c r="J174" s="131"/>
    </row>
    <row r="175" spans="1:10" ht="39.950000000000003" customHeight="1" x14ac:dyDescent="0.25">
      <c r="A175" s="117" t="s">
        <v>1867</v>
      </c>
      <c r="B175" s="118"/>
      <c r="C175" s="118"/>
      <c r="D175" s="118"/>
      <c r="E175" s="118"/>
      <c r="F175" s="118"/>
      <c r="G175" s="118"/>
      <c r="H175" s="118"/>
      <c r="I175" s="118"/>
      <c r="J175" s="118"/>
    </row>
    <row r="176" spans="1:10" ht="30" customHeight="1" x14ac:dyDescent="0.25">
      <c r="A176" s="50"/>
      <c r="B176" s="39" t="s">
        <v>2</v>
      </c>
      <c r="C176" s="4" t="s">
        <v>48</v>
      </c>
      <c r="D176" s="4" t="s">
        <v>49</v>
      </c>
      <c r="E176" s="39" t="s">
        <v>9</v>
      </c>
      <c r="F176" s="39" t="s">
        <v>10</v>
      </c>
      <c r="G176" s="4" t="s">
        <v>11</v>
      </c>
      <c r="H176" s="4" t="s">
        <v>17</v>
      </c>
      <c r="I176" s="4" t="s">
        <v>12</v>
      </c>
      <c r="J176" s="4" t="s">
        <v>18</v>
      </c>
    </row>
    <row r="177" spans="1:10" ht="24.95" customHeight="1" x14ac:dyDescent="0.25">
      <c r="A177" s="124"/>
      <c r="B177" s="75" t="s">
        <v>1357</v>
      </c>
      <c r="C177" s="50" t="s">
        <v>51</v>
      </c>
      <c r="D177" s="50" t="s">
        <v>54</v>
      </c>
      <c r="E177" s="50" t="s">
        <v>31</v>
      </c>
      <c r="F177" s="50" t="s">
        <v>13</v>
      </c>
      <c r="G177" s="15" t="s">
        <v>1356</v>
      </c>
      <c r="H177" s="7">
        <f>CEILING((PRODUCT(369,USD)),10)</f>
        <v>23860</v>
      </c>
      <c r="I177" s="8">
        <v>0.3</v>
      </c>
      <c r="J177" s="9">
        <f>CEILING(H177*0.7,10)</f>
        <v>16710</v>
      </c>
    </row>
    <row r="178" spans="1:10" ht="24.95" customHeight="1" x14ac:dyDescent="0.25">
      <c r="A178" s="124"/>
      <c r="B178" s="75" t="s">
        <v>1358</v>
      </c>
      <c r="C178" s="50" t="s">
        <v>52</v>
      </c>
      <c r="D178" s="50" t="s">
        <v>54</v>
      </c>
      <c r="E178" s="50" t="s">
        <v>31</v>
      </c>
      <c r="F178" s="50" t="s">
        <v>13</v>
      </c>
      <c r="G178" s="15" t="s">
        <v>1356</v>
      </c>
      <c r="H178" s="7">
        <f>CEILING((PRODUCT(422,USD)),10)</f>
        <v>27280</v>
      </c>
      <c r="I178" s="8">
        <v>0.3</v>
      </c>
      <c r="J178" s="9">
        <f t="shared" ref="J178:J187" si="9">CEILING(H178*0.7,10)</f>
        <v>19100</v>
      </c>
    </row>
    <row r="179" spans="1:10" ht="24.95" customHeight="1" x14ac:dyDescent="0.25">
      <c r="A179" s="124"/>
      <c r="B179" s="75" t="s">
        <v>1359</v>
      </c>
      <c r="C179" s="52" t="s">
        <v>52</v>
      </c>
      <c r="D179" s="50" t="s">
        <v>55</v>
      </c>
      <c r="E179" s="50" t="s">
        <v>31</v>
      </c>
      <c r="F179" s="50" t="s">
        <v>13</v>
      </c>
      <c r="G179" s="15" t="s">
        <v>237</v>
      </c>
      <c r="H179" s="7">
        <f>CEILING((PRODUCT(274,USD)),10)</f>
        <v>17720</v>
      </c>
      <c r="I179" s="8">
        <v>0.3</v>
      </c>
      <c r="J179" s="9">
        <f t="shared" si="9"/>
        <v>12410</v>
      </c>
    </row>
    <row r="180" spans="1:10" ht="24.95" customHeight="1" x14ac:dyDescent="0.25">
      <c r="A180" s="124"/>
      <c r="B180" s="75" t="s">
        <v>1360</v>
      </c>
      <c r="C180" s="50" t="s">
        <v>59</v>
      </c>
      <c r="D180" s="50" t="s">
        <v>55</v>
      </c>
      <c r="E180" s="50" t="s">
        <v>31</v>
      </c>
      <c r="F180" s="50" t="s">
        <v>13</v>
      </c>
      <c r="G180" s="15" t="s">
        <v>237</v>
      </c>
      <c r="H180" s="7">
        <f>CEILING((PRODUCT(321,USD)),10)</f>
        <v>20750</v>
      </c>
      <c r="I180" s="8">
        <v>0.3</v>
      </c>
      <c r="J180" s="9">
        <f t="shared" si="9"/>
        <v>14530</v>
      </c>
    </row>
    <row r="181" spans="1:10" ht="24.95" customHeight="1" x14ac:dyDescent="0.25">
      <c r="A181" s="124"/>
      <c r="B181" s="75" t="s">
        <v>1361</v>
      </c>
      <c r="C181" s="50" t="s">
        <v>103</v>
      </c>
      <c r="D181" s="50" t="s">
        <v>55</v>
      </c>
      <c r="E181" s="50" t="s">
        <v>31</v>
      </c>
      <c r="F181" s="50" t="s">
        <v>13</v>
      </c>
      <c r="G181" s="15" t="s">
        <v>237</v>
      </c>
      <c r="H181" s="7">
        <f>CEILING((PRODUCT(369,USD)),10)</f>
        <v>23860</v>
      </c>
      <c r="I181" s="8">
        <v>0.3</v>
      </c>
      <c r="J181" s="9">
        <f t="shared" si="9"/>
        <v>16710</v>
      </c>
    </row>
    <row r="182" spans="1:10" ht="24.95" customHeight="1" x14ac:dyDescent="0.25">
      <c r="A182" s="124"/>
      <c r="B182" s="75" t="s">
        <v>1362</v>
      </c>
      <c r="C182" s="50" t="s">
        <v>63</v>
      </c>
      <c r="D182" s="50" t="s">
        <v>55</v>
      </c>
      <c r="E182" s="50" t="s">
        <v>31</v>
      </c>
      <c r="F182" s="50" t="s">
        <v>13</v>
      </c>
      <c r="G182" s="15" t="s">
        <v>111</v>
      </c>
      <c r="H182" s="7">
        <f>CEILING((PRODUCT(406,USD)),10)</f>
        <v>26250</v>
      </c>
      <c r="I182" s="8">
        <v>0.3</v>
      </c>
      <c r="J182" s="9">
        <f t="shared" si="9"/>
        <v>18380</v>
      </c>
    </row>
    <row r="183" spans="1:10" ht="24.95" customHeight="1" x14ac:dyDescent="0.25">
      <c r="A183" s="124"/>
      <c r="B183" s="75" t="s">
        <v>1363</v>
      </c>
      <c r="C183" s="50" t="s">
        <v>64</v>
      </c>
      <c r="D183" s="50" t="s">
        <v>55</v>
      </c>
      <c r="E183" s="50" t="s">
        <v>31</v>
      </c>
      <c r="F183" s="50" t="s">
        <v>13</v>
      </c>
      <c r="G183" s="15" t="s">
        <v>111</v>
      </c>
      <c r="H183" s="7">
        <f>CEILING((PRODUCT(443,USD)),10)</f>
        <v>28640</v>
      </c>
      <c r="I183" s="8">
        <v>0.3</v>
      </c>
      <c r="J183" s="9">
        <f t="shared" si="9"/>
        <v>20050</v>
      </c>
    </row>
    <row r="184" spans="1:10" ht="24.95" customHeight="1" x14ac:dyDescent="0.25">
      <c r="A184" s="124"/>
      <c r="B184" s="75" t="s">
        <v>1364</v>
      </c>
      <c r="C184" s="50" t="s">
        <v>59</v>
      </c>
      <c r="D184" s="50" t="s">
        <v>56</v>
      </c>
      <c r="E184" s="50" t="s">
        <v>273</v>
      </c>
      <c r="F184" s="50" t="s">
        <v>13</v>
      </c>
      <c r="G184" s="15" t="s">
        <v>237</v>
      </c>
      <c r="H184" s="7">
        <f>CEILING((PRODUCT(184,USD)),10)</f>
        <v>11900</v>
      </c>
      <c r="I184" s="8">
        <v>0.3</v>
      </c>
      <c r="J184" s="9">
        <f t="shared" si="9"/>
        <v>8330</v>
      </c>
    </row>
    <row r="185" spans="1:10" ht="24.95" customHeight="1" x14ac:dyDescent="0.25">
      <c r="A185" s="124"/>
      <c r="B185" s="75" t="s">
        <v>1365</v>
      </c>
      <c r="C185" s="50" t="s">
        <v>103</v>
      </c>
      <c r="D185" s="50" t="s">
        <v>56</v>
      </c>
      <c r="E185" s="50" t="s">
        <v>273</v>
      </c>
      <c r="F185" s="50" t="s">
        <v>13</v>
      </c>
      <c r="G185" s="15" t="s">
        <v>111</v>
      </c>
      <c r="H185" s="7">
        <f>CEILING((PRODUCT(192,USD)),10)</f>
        <v>12420</v>
      </c>
      <c r="I185" s="8">
        <v>0.3</v>
      </c>
      <c r="J185" s="9">
        <f t="shared" si="9"/>
        <v>8700</v>
      </c>
    </row>
    <row r="186" spans="1:10" ht="24.95" customHeight="1" x14ac:dyDescent="0.25">
      <c r="A186" s="124"/>
      <c r="B186" s="75" t="s">
        <v>1366</v>
      </c>
      <c r="C186" s="50" t="s">
        <v>64</v>
      </c>
      <c r="D186" s="50" t="s">
        <v>56</v>
      </c>
      <c r="E186" s="50" t="s">
        <v>31</v>
      </c>
      <c r="F186" s="50" t="s">
        <v>13</v>
      </c>
      <c r="G186" s="15" t="s">
        <v>111</v>
      </c>
      <c r="H186" s="7">
        <f>CEILING((PRODUCT(247,USD)),10)</f>
        <v>15970</v>
      </c>
      <c r="I186" s="8">
        <v>0.3</v>
      </c>
      <c r="J186" s="9">
        <f t="shared" si="9"/>
        <v>11180</v>
      </c>
    </row>
    <row r="187" spans="1:10" ht="24.95" customHeight="1" x14ac:dyDescent="0.25">
      <c r="A187" s="124"/>
      <c r="B187" s="75" t="s">
        <v>1367</v>
      </c>
      <c r="C187" s="50" t="s">
        <v>107</v>
      </c>
      <c r="D187" s="50" t="s">
        <v>56</v>
      </c>
      <c r="E187" s="50" t="s">
        <v>31</v>
      </c>
      <c r="F187" s="50" t="s">
        <v>13</v>
      </c>
      <c r="G187" s="15" t="s">
        <v>111</v>
      </c>
      <c r="H187" s="7">
        <f>CEILING((PRODUCT(369,USD)),10)</f>
        <v>23860</v>
      </c>
      <c r="I187" s="8">
        <v>0.3</v>
      </c>
      <c r="J187" s="9">
        <f t="shared" si="9"/>
        <v>16710</v>
      </c>
    </row>
    <row r="188" spans="1:10" ht="24.95" customHeight="1" x14ac:dyDescent="0.25">
      <c r="A188" s="124"/>
      <c r="B188" s="75" t="s">
        <v>1368</v>
      </c>
      <c r="C188" s="50" t="s">
        <v>108</v>
      </c>
      <c r="D188" s="50" t="s">
        <v>57</v>
      </c>
      <c r="E188" s="50" t="s">
        <v>273</v>
      </c>
      <c r="F188" s="50" t="s">
        <v>13</v>
      </c>
      <c r="G188" s="15" t="s">
        <v>111</v>
      </c>
      <c r="H188" s="7">
        <f>CEILING((PRODUCT(211,USD)),10)</f>
        <v>13640</v>
      </c>
      <c r="I188" s="8">
        <v>0.3</v>
      </c>
      <c r="J188" s="9">
        <f>CEILING(H188*0.7,10)</f>
        <v>9550</v>
      </c>
    </row>
    <row r="189" spans="1:10" ht="20.100000000000001" customHeight="1" x14ac:dyDescent="0.25">
      <c r="A189" s="131"/>
      <c r="B189" s="131"/>
      <c r="C189" s="131"/>
      <c r="D189" s="131"/>
      <c r="E189" s="131"/>
      <c r="F189" s="131"/>
      <c r="G189" s="131"/>
      <c r="H189" s="131"/>
      <c r="I189" s="131"/>
      <c r="J189" s="131"/>
    </row>
    <row r="190" spans="1:10" ht="39.950000000000003" customHeight="1" x14ac:dyDescent="0.25">
      <c r="A190" s="117" t="s">
        <v>1868</v>
      </c>
      <c r="B190" s="118"/>
      <c r="C190" s="118"/>
      <c r="D190" s="118"/>
      <c r="E190" s="118"/>
      <c r="F190" s="118"/>
      <c r="G190" s="118"/>
      <c r="H190" s="118"/>
      <c r="I190" s="118"/>
      <c r="J190" s="118"/>
    </row>
    <row r="191" spans="1:10" ht="30" customHeight="1" x14ac:dyDescent="0.25">
      <c r="A191" s="51"/>
      <c r="B191" s="39" t="s">
        <v>2</v>
      </c>
      <c r="C191" s="4" t="s">
        <v>48</v>
      </c>
      <c r="D191" s="4" t="s">
        <v>49</v>
      </c>
      <c r="E191" s="39" t="s">
        <v>9</v>
      </c>
      <c r="F191" s="39" t="s">
        <v>10</v>
      </c>
      <c r="G191" s="4" t="s">
        <v>11</v>
      </c>
      <c r="H191" s="4" t="s">
        <v>17</v>
      </c>
      <c r="I191" s="4" t="s">
        <v>12</v>
      </c>
      <c r="J191" s="4" t="s">
        <v>18</v>
      </c>
    </row>
    <row r="192" spans="1:10" ht="24.95" customHeight="1" x14ac:dyDescent="0.25">
      <c r="A192" s="124"/>
      <c r="B192" s="75" t="s">
        <v>1369</v>
      </c>
      <c r="C192" s="51" t="s">
        <v>1381</v>
      </c>
      <c r="D192" s="51" t="s">
        <v>1382</v>
      </c>
      <c r="E192" s="51" t="s">
        <v>31</v>
      </c>
      <c r="F192" s="51" t="s">
        <v>15</v>
      </c>
      <c r="G192" s="15" t="s">
        <v>1356</v>
      </c>
      <c r="H192" s="7">
        <f>CEILING((PRODUCT(474,USD)),10)</f>
        <v>30640</v>
      </c>
      <c r="I192" s="8">
        <v>0.3</v>
      </c>
      <c r="J192" s="9">
        <f>CEILING(H192*0.7,10)</f>
        <v>21450</v>
      </c>
    </row>
    <row r="193" spans="1:10" ht="24.95" customHeight="1" x14ac:dyDescent="0.25">
      <c r="A193" s="124"/>
      <c r="B193" s="75" t="s">
        <v>1370</v>
      </c>
      <c r="C193" s="51" t="s">
        <v>1381</v>
      </c>
      <c r="D193" s="51" t="s">
        <v>1382</v>
      </c>
      <c r="E193" s="51" t="s">
        <v>31</v>
      </c>
      <c r="F193" s="51" t="s">
        <v>13</v>
      </c>
      <c r="G193" s="15" t="s">
        <v>1356</v>
      </c>
      <c r="H193" s="7">
        <f>CEILING((PRODUCT(422,USD)),10)</f>
        <v>27280</v>
      </c>
      <c r="I193" s="8">
        <v>0.3</v>
      </c>
      <c r="J193" s="9">
        <f t="shared" ref="J193:J203" si="10">CEILING(H193*0.7,10)</f>
        <v>19100</v>
      </c>
    </row>
    <row r="194" spans="1:10" ht="24.95" customHeight="1" x14ac:dyDescent="0.25">
      <c r="A194" s="124"/>
      <c r="B194" s="75" t="s">
        <v>1371</v>
      </c>
      <c r="C194" s="51" t="s">
        <v>58</v>
      </c>
      <c r="D194" s="51" t="s">
        <v>55</v>
      </c>
      <c r="E194" s="51" t="s">
        <v>31</v>
      </c>
      <c r="F194" s="51" t="s">
        <v>13</v>
      </c>
      <c r="G194" s="15" t="s">
        <v>237</v>
      </c>
      <c r="H194" s="7">
        <f>CEILING((PRODUCT(352,USD)),10)</f>
        <v>22760</v>
      </c>
      <c r="I194" s="8">
        <v>0.3</v>
      </c>
      <c r="J194" s="9">
        <f t="shared" si="10"/>
        <v>15940</v>
      </c>
    </row>
    <row r="195" spans="1:10" ht="24.95" customHeight="1" x14ac:dyDescent="0.25">
      <c r="A195" s="124"/>
      <c r="B195" s="75" t="s">
        <v>1372</v>
      </c>
      <c r="C195" s="51" t="s">
        <v>103</v>
      </c>
      <c r="D195" s="51" t="s">
        <v>55</v>
      </c>
      <c r="E195" s="51" t="s">
        <v>31</v>
      </c>
      <c r="F195" s="51" t="s">
        <v>15</v>
      </c>
      <c r="G195" s="15" t="s">
        <v>237</v>
      </c>
      <c r="H195" s="7">
        <f>CEILING((PRODUCT(408,USD)),10)</f>
        <v>26380</v>
      </c>
      <c r="I195" s="8">
        <v>0.3</v>
      </c>
      <c r="J195" s="9">
        <f t="shared" si="10"/>
        <v>18470</v>
      </c>
    </row>
    <row r="196" spans="1:10" ht="24.95" customHeight="1" x14ac:dyDescent="0.25">
      <c r="A196" s="124"/>
      <c r="B196" s="75" t="s">
        <v>1373</v>
      </c>
      <c r="C196" s="51" t="s">
        <v>103</v>
      </c>
      <c r="D196" s="51" t="s">
        <v>55</v>
      </c>
      <c r="E196" s="51" t="s">
        <v>31</v>
      </c>
      <c r="F196" s="51" t="s">
        <v>13</v>
      </c>
      <c r="G196" s="15" t="s">
        <v>237</v>
      </c>
      <c r="H196" s="7">
        <f>CEILING((PRODUCT(379,USD)),10)</f>
        <v>24500</v>
      </c>
      <c r="I196" s="8">
        <v>0.3</v>
      </c>
      <c r="J196" s="9">
        <f t="shared" si="10"/>
        <v>17150</v>
      </c>
    </row>
    <row r="197" spans="1:10" ht="24.95" customHeight="1" x14ac:dyDescent="0.25">
      <c r="A197" s="124"/>
      <c r="B197" s="75" t="s">
        <v>1374</v>
      </c>
      <c r="C197" s="51" t="s">
        <v>186</v>
      </c>
      <c r="D197" s="51" t="s">
        <v>55</v>
      </c>
      <c r="E197" s="51" t="s">
        <v>31</v>
      </c>
      <c r="F197" s="51" t="s">
        <v>15</v>
      </c>
      <c r="G197" s="15" t="s">
        <v>111</v>
      </c>
      <c r="H197" s="7">
        <f>CEILING((PRODUCT(458,USD)),10)</f>
        <v>29610</v>
      </c>
      <c r="I197" s="8">
        <v>0.3</v>
      </c>
      <c r="J197" s="9">
        <f t="shared" si="10"/>
        <v>20730</v>
      </c>
    </row>
    <row r="198" spans="1:10" ht="24.95" customHeight="1" x14ac:dyDescent="0.25">
      <c r="A198" s="124"/>
      <c r="B198" s="75" t="s">
        <v>1375</v>
      </c>
      <c r="C198" s="51" t="s">
        <v>186</v>
      </c>
      <c r="D198" s="51" t="s">
        <v>55</v>
      </c>
      <c r="E198" s="51" t="s">
        <v>31</v>
      </c>
      <c r="F198" s="51" t="s">
        <v>13</v>
      </c>
      <c r="G198" s="15" t="s">
        <v>111</v>
      </c>
      <c r="H198" s="7">
        <f>CEILING((PRODUCT(416,USD)),10)</f>
        <v>26900</v>
      </c>
      <c r="I198" s="8">
        <v>0.3</v>
      </c>
      <c r="J198" s="9">
        <f t="shared" si="10"/>
        <v>18830</v>
      </c>
    </row>
    <row r="199" spans="1:10" ht="24.95" customHeight="1" x14ac:dyDescent="0.25">
      <c r="A199" s="124"/>
      <c r="B199" s="75" t="s">
        <v>1376</v>
      </c>
      <c r="C199" s="51" t="s">
        <v>103</v>
      </c>
      <c r="D199" s="51" t="s">
        <v>56</v>
      </c>
      <c r="E199" s="51" t="s">
        <v>273</v>
      </c>
      <c r="F199" s="51" t="s">
        <v>13</v>
      </c>
      <c r="G199" s="15" t="s">
        <v>111</v>
      </c>
      <c r="H199" s="7">
        <f>CEILING((PRODUCT(208,USD)),10)</f>
        <v>13450</v>
      </c>
      <c r="I199" s="8">
        <v>0.3</v>
      </c>
      <c r="J199" s="9">
        <f t="shared" si="10"/>
        <v>9420</v>
      </c>
    </row>
    <row r="200" spans="1:10" ht="24.95" customHeight="1" x14ac:dyDescent="0.25">
      <c r="A200" s="124"/>
      <c r="B200" s="75" t="s">
        <v>1377</v>
      </c>
      <c r="C200" s="51" t="s">
        <v>105</v>
      </c>
      <c r="D200" s="51" t="s">
        <v>56</v>
      </c>
      <c r="E200" s="51" t="s">
        <v>31</v>
      </c>
      <c r="F200" s="51" t="s">
        <v>13</v>
      </c>
      <c r="G200" s="15" t="s">
        <v>111</v>
      </c>
      <c r="H200" s="7">
        <f>CEILING((PRODUCT(317,USD)),10)</f>
        <v>20500</v>
      </c>
      <c r="I200" s="8">
        <v>0.3</v>
      </c>
      <c r="J200" s="9">
        <f t="shared" si="10"/>
        <v>14350</v>
      </c>
    </row>
    <row r="201" spans="1:10" ht="24.95" customHeight="1" x14ac:dyDescent="0.25">
      <c r="A201" s="124"/>
      <c r="B201" s="75" t="s">
        <v>1378</v>
      </c>
      <c r="C201" s="51" t="s">
        <v>107</v>
      </c>
      <c r="D201" s="51" t="s">
        <v>56</v>
      </c>
      <c r="E201" s="51" t="s">
        <v>31</v>
      </c>
      <c r="F201" s="51" t="s">
        <v>15</v>
      </c>
      <c r="G201" s="15" t="s">
        <v>111</v>
      </c>
      <c r="H201" s="7">
        <f>CEILING((PRODUCT(411,USD)),10)</f>
        <v>26570</v>
      </c>
      <c r="I201" s="8">
        <v>0.3</v>
      </c>
      <c r="J201" s="9">
        <f t="shared" si="10"/>
        <v>18600</v>
      </c>
    </row>
    <row r="202" spans="1:10" ht="24.95" customHeight="1" x14ac:dyDescent="0.25">
      <c r="A202" s="124"/>
      <c r="B202" s="75" t="s">
        <v>1379</v>
      </c>
      <c r="C202" s="51" t="s">
        <v>107</v>
      </c>
      <c r="D202" s="51" t="s">
        <v>56</v>
      </c>
      <c r="E202" s="51" t="s">
        <v>31</v>
      </c>
      <c r="F202" s="51" t="s">
        <v>13</v>
      </c>
      <c r="G202" s="15" t="s">
        <v>111</v>
      </c>
      <c r="H202" s="7">
        <f>CEILING((PRODUCT(379,USD)),10)</f>
        <v>24500</v>
      </c>
      <c r="I202" s="8">
        <v>0.3</v>
      </c>
      <c r="J202" s="9">
        <f t="shared" si="10"/>
        <v>17150</v>
      </c>
    </row>
    <row r="203" spans="1:10" ht="24.95" customHeight="1" x14ac:dyDescent="0.25">
      <c r="A203" s="124"/>
      <c r="B203" s="75" t="s">
        <v>1380</v>
      </c>
      <c r="C203" s="51" t="s">
        <v>108</v>
      </c>
      <c r="D203" s="51" t="s">
        <v>57</v>
      </c>
      <c r="E203" s="51" t="s">
        <v>273</v>
      </c>
      <c r="F203" s="51" t="s">
        <v>13</v>
      </c>
      <c r="G203" s="15" t="s">
        <v>111</v>
      </c>
      <c r="H203" s="7">
        <f>CEILING((PRODUCT(274,USD)),10)</f>
        <v>17720</v>
      </c>
      <c r="I203" s="8">
        <v>0.3</v>
      </c>
      <c r="J203" s="9">
        <f t="shared" si="10"/>
        <v>12410</v>
      </c>
    </row>
  </sheetData>
  <mergeCells count="46">
    <mergeCell ref="A189:J189"/>
    <mergeCell ref="A190:J190"/>
    <mergeCell ref="A192:A203"/>
    <mergeCell ref="A145:J145"/>
    <mergeCell ref="A147:A158"/>
    <mergeCell ref="A159:J159"/>
    <mergeCell ref="A160:J160"/>
    <mergeCell ref="A162:A173"/>
    <mergeCell ref="A174:J174"/>
    <mergeCell ref="A177:A188"/>
    <mergeCell ref="A175:J175"/>
    <mergeCell ref="A8:J8"/>
    <mergeCell ref="A102:J102"/>
    <mergeCell ref="A105:A109"/>
    <mergeCell ref="A110:J110"/>
    <mergeCell ref="A81:J81"/>
    <mergeCell ref="A92:A101"/>
    <mergeCell ref="A103:J103"/>
    <mergeCell ref="A41:J41"/>
    <mergeCell ref="A80:J80"/>
    <mergeCell ref="A43:A48"/>
    <mergeCell ref="A49:J49"/>
    <mergeCell ref="A50:J50"/>
    <mergeCell ref="A52:A79"/>
    <mergeCell ref="A111:J111"/>
    <mergeCell ref="A113:A131"/>
    <mergeCell ref="A9:J9"/>
    <mergeCell ref="A1:J1"/>
    <mergeCell ref="A3:A7"/>
    <mergeCell ref="A83:A88"/>
    <mergeCell ref="A89:J89"/>
    <mergeCell ref="A90:J90"/>
    <mergeCell ref="A11:A16"/>
    <mergeCell ref="A17:J17"/>
    <mergeCell ref="A18:J18"/>
    <mergeCell ref="A20:A33"/>
    <mergeCell ref="A34:J34"/>
    <mergeCell ref="A35:J35"/>
    <mergeCell ref="A37:A39"/>
    <mergeCell ref="A40:J40"/>
    <mergeCell ref="A141:J141"/>
    <mergeCell ref="A144:J144"/>
    <mergeCell ref="A140:J140"/>
    <mergeCell ref="A132:J132"/>
    <mergeCell ref="A135:A139"/>
    <mergeCell ref="A133:J133"/>
  </mergeCells>
  <hyperlinks>
    <hyperlink ref="B83" r:id="rId1"/>
    <hyperlink ref="B84" r:id="rId2"/>
    <hyperlink ref="B85" r:id="rId3"/>
    <hyperlink ref="B86" r:id="rId4"/>
    <hyperlink ref="B87" r:id="rId5"/>
    <hyperlink ref="B88" r:id="rId6"/>
    <hyperlink ref="B92" r:id="rId7"/>
    <hyperlink ref="B93" r:id="rId8"/>
    <hyperlink ref="B94" r:id="rId9"/>
    <hyperlink ref="B95" r:id="rId10"/>
    <hyperlink ref="B96" r:id="rId11"/>
    <hyperlink ref="B97" r:id="rId12"/>
    <hyperlink ref="B98" r:id="rId13"/>
    <hyperlink ref="B99" r:id="rId14"/>
    <hyperlink ref="B100" r:id="rId15"/>
    <hyperlink ref="B101" r:id="rId16"/>
    <hyperlink ref="B135" r:id="rId17"/>
    <hyperlink ref="B136" r:id="rId18"/>
    <hyperlink ref="B105" r:id="rId19"/>
    <hyperlink ref="B106" r:id="rId20" display="AX-124/E"/>
    <hyperlink ref="B108" r:id="rId21" display="AX-224/E"/>
    <hyperlink ref="B107" r:id="rId22"/>
    <hyperlink ref="B109" r:id="rId23"/>
    <hyperlink ref="B113" r:id="rId24"/>
    <hyperlink ref="B115" r:id="rId25"/>
    <hyperlink ref="B117" r:id="rId26"/>
    <hyperlink ref="B119" r:id="rId27"/>
    <hyperlink ref="B121" r:id="rId28"/>
    <hyperlink ref="B123" r:id="rId29"/>
    <hyperlink ref="B125" r:id="rId30"/>
    <hyperlink ref="B127" r:id="rId31"/>
    <hyperlink ref="B128" r:id="rId32"/>
    <hyperlink ref="B130" r:id="rId33"/>
    <hyperlink ref="B114" r:id="rId34" display="AX-223/E"/>
    <hyperlink ref="B116" r:id="rId35" display="AX-423/E"/>
    <hyperlink ref="B118" r:id="rId36" display="AX-523/E"/>
    <hyperlink ref="B120" r:id="rId37" display="AX-622/E"/>
    <hyperlink ref="B122" r:id="rId38" display="AX-1502/E"/>
    <hyperlink ref="B124" r:id="rId39" display="AX-2202/E"/>
    <hyperlink ref="B126" r:id="rId40" display="AX-4202/E"/>
    <hyperlink ref="B129" r:id="rId41" display="AX-4201/E"/>
    <hyperlink ref="B131" r:id="rId42" display="AX-8201/E"/>
    <hyperlink ref="B147" r:id="rId43"/>
    <hyperlink ref="B148" r:id="rId44"/>
    <hyperlink ref="B149" r:id="rId45"/>
    <hyperlink ref="B150" r:id="rId46"/>
    <hyperlink ref="B151" r:id="rId47"/>
    <hyperlink ref="B152" r:id="rId48"/>
    <hyperlink ref="B153" r:id="rId49"/>
    <hyperlink ref="B154" r:id="rId50"/>
    <hyperlink ref="B155" r:id="rId51"/>
    <hyperlink ref="B156" r:id="rId52"/>
    <hyperlink ref="B157" r:id="rId53"/>
    <hyperlink ref="B158" r:id="rId54"/>
    <hyperlink ref="B143" r:id="rId55"/>
    <hyperlink ref="B169" r:id="rId56"/>
    <hyperlink ref="B170" r:id="rId57"/>
    <hyperlink ref="B171" r:id="rId58"/>
    <hyperlink ref="B173" r:id="rId59"/>
    <hyperlink ref="B164" r:id="rId60"/>
    <hyperlink ref="B165" r:id="rId61"/>
    <hyperlink ref="B166" r:id="rId62"/>
    <hyperlink ref="B172" r:id="rId63"/>
    <hyperlink ref="B167" r:id="rId64"/>
    <hyperlink ref="B162" r:id="rId65"/>
    <hyperlink ref="B168" r:id="rId66"/>
    <hyperlink ref="B163" r:id="rId67"/>
    <hyperlink ref="B184" r:id="rId68"/>
    <hyperlink ref="B185" r:id="rId69"/>
    <hyperlink ref="B188" r:id="rId70"/>
    <hyperlink ref="B186" r:id="rId71"/>
    <hyperlink ref="B179" r:id="rId72"/>
    <hyperlink ref="B180" r:id="rId73"/>
    <hyperlink ref="B177" r:id="rId74"/>
    <hyperlink ref="B181" r:id="rId75"/>
    <hyperlink ref="B187" r:id="rId76"/>
    <hyperlink ref="B182" r:id="rId77"/>
    <hyperlink ref="B178" r:id="rId78"/>
    <hyperlink ref="B183" r:id="rId79"/>
    <hyperlink ref="B199" r:id="rId80"/>
    <hyperlink ref="B203" r:id="rId81"/>
    <hyperlink ref="B200" r:id="rId82"/>
    <hyperlink ref="B194" r:id="rId83"/>
    <hyperlink ref="B196" r:id="rId84"/>
    <hyperlink ref="B202" r:id="rId85"/>
    <hyperlink ref="B195" r:id="rId86"/>
    <hyperlink ref="B201" r:id="rId87"/>
    <hyperlink ref="B193" r:id="rId88"/>
    <hyperlink ref="B197" r:id="rId89"/>
    <hyperlink ref="B192" r:id="rId90"/>
    <hyperlink ref="B198" r:id="rId91"/>
    <hyperlink ref="B3" r:id="rId92"/>
    <hyperlink ref="B4" r:id="rId93"/>
    <hyperlink ref="B5" r:id="rId94"/>
    <hyperlink ref="B6" r:id="rId95"/>
    <hyperlink ref="B7" r:id="rId96"/>
    <hyperlink ref="B137" r:id="rId97"/>
    <hyperlink ref="B138" r:id="rId98"/>
    <hyperlink ref="B139" r:id="rId99"/>
    <hyperlink ref="B11" r:id="rId100"/>
    <hyperlink ref="B13" r:id="rId101"/>
    <hyperlink ref="B15" r:id="rId102"/>
    <hyperlink ref="B12" r:id="rId103"/>
    <hyperlink ref="B14" r:id="rId104"/>
    <hyperlink ref="B16" r:id="rId105"/>
    <hyperlink ref="B20" r:id="rId106"/>
    <hyperlink ref="B21" r:id="rId107"/>
    <hyperlink ref="B22" r:id="rId108"/>
    <hyperlink ref="B23" r:id="rId109"/>
    <hyperlink ref="B24" r:id="rId110"/>
    <hyperlink ref="B25" r:id="rId111"/>
    <hyperlink ref="B26" r:id="rId112"/>
    <hyperlink ref="B27" r:id="rId113"/>
    <hyperlink ref="B28" r:id="rId114"/>
    <hyperlink ref="B29" r:id="rId115"/>
    <hyperlink ref="B37" r:id="rId116"/>
    <hyperlink ref="B38" r:id="rId117"/>
    <hyperlink ref="B39" r:id="rId118"/>
    <hyperlink ref="B43" r:id="rId119"/>
    <hyperlink ref="B45" r:id="rId120"/>
    <hyperlink ref="B47" r:id="rId121"/>
    <hyperlink ref="B44" r:id="rId122"/>
    <hyperlink ref="B46" r:id="rId123"/>
    <hyperlink ref="B48" r:id="rId124"/>
    <hyperlink ref="B52" r:id="rId125"/>
    <hyperlink ref="B54" r:id="rId126"/>
    <hyperlink ref="B56" r:id="rId127"/>
    <hyperlink ref="B58" r:id="rId128"/>
    <hyperlink ref="B60" r:id="rId129"/>
    <hyperlink ref="B62" r:id="rId130"/>
    <hyperlink ref="B64" r:id="rId131"/>
    <hyperlink ref="B66" r:id="rId132"/>
    <hyperlink ref="B68" r:id="rId133"/>
    <hyperlink ref="B70" r:id="rId134"/>
    <hyperlink ref="B72" r:id="rId135"/>
    <hyperlink ref="B74" r:id="rId136"/>
    <hyperlink ref="B76" r:id="rId137"/>
    <hyperlink ref="B78" r:id="rId138"/>
    <hyperlink ref="B79" r:id="rId139"/>
    <hyperlink ref="B53" r:id="rId140"/>
    <hyperlink ref="B55" r:id="rId141"/>
    <hyperlink ref="B57" r:id="rId142"/>
    <hyperlink ref="B59" r:id="rId143"/>
    <hyperlink ref="B61" r:id="rId144"/>
    <hyperlink ref="B63" r:id="rId145"/>
    <hyperlink ref="B65" r:id="rId146"/>
    <hyperlink ref="B67" r:id="rId147"/>
    <hyperlink ref="B69" r:id="rId148"/>
    <hyperlink ref="B71" r:id="rId149"/>
    <hyperlink ref="B73" r:id="rId150"/>
    <hyperlink ref="B75" r:id="rId151"/>
    <hyperlink ref="B77" r:id="rId152"/>
    <hyperlink ref="B30" r:id="rId153"/>
    <hyperlink ref="B31" r:id="rId154"/>
    <hyperlink ref="B32" r:id="rId155"/>
    <hyperlink ref="B33" r:id="rId156"/>
  </hyperlinks>
  <pageMargins left="0.7" right="0.7" top="0.75" bottom="0.75" header="0.3" footer="0.3"/>
  <pageSetup paperSize="9" orientation="portrait" r:id="rId157"/>
  <drawing r:id="rId15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390"/>
  <sheetViews>
    <sheetView topLeftCell="A415" zoomScale="90" zoomScaleNormal="90" workbookViewId="0">
      <selection activeCell="B44" sqref="B44"/>
    </sheetView>
  </sheetViews>
  <sheetFormatPr defaultRowHeight="13.5" x14ac:dyDescent="0.25"/>
  <cols>
    <col min="1" max="1" width="23.28515625" style="1" customWidth="1"/>
    <col min="2" max="2" width="16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1501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5"/>
      <c r="B2" s="3" t="s">
        <v>2</v>
      </c>
      <c r="C2" s="4" t="s">
        <v>48</v>
      </c>
      <c r="D2" s="3" t="s">
        <v>49</v>
      </c>
      <c r="E2" s="3" t="s">
        <v>9</v>
      </c>
      <c r="F2" s="3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120" customHeight="1" x14ac:dyDescent="0.25">
      <c r="A3" s="5"/>
      <c r="B3" s="6" t="s">
        <v>1047</v>
      </c>
      <c r="C3" s="5" t="s">
        <v>83</v>
      </c>
      <c r="D3" s="5" t="s">
        <v>219</v>
      </c>
      <c r="E3" s="5" t="s">
        <v>1058</v>
      </c>
      <c r="F3" s="5" t="s">
        <v>13</v>
      </c>
      <c r="G3" s="5" t="s">
        <v>527</v>
      </c>
      <c r="H3" s="9">
        <f>CEILING(2770*USD,10)</f>
        <v>179060</v>
      </c>
      <c r="I3" s="8">
        <v>0.2</v>
      </c>
      <c r="J3" s="9">
        <f>CEILING(H3*0.8,10)</f>
        <v>143250</v>
      </c>
    </row>
    <row r="4" spans="1:10" ht="20.100000000000001" customHeight="1" x14ac:dyDescent="0.25">
      <c r="A4" s="139" t="s">
        <v>74</v>
      </c>
      <c r="B4" s="139"/>
      <c r="C4" s="139"/>
      <c r="D4" s="139"/>
      <c r="E4" s="139"/>
      <c r="F4" s="139"/>
      <c r="G4" s="139"/>
      <c r="H4" s="139"/>
      <c r="I4" s="139"/>
      <c r="J4" s="139"/>
    </row>
    <row r="5" spans="1:10" ht="20.100000000000001" customHeight="1" x14ac:dyDescent="0.25">
      <c r="A5" s="135" t="s">
        <v>1049</v>
      </c>
      <c r="B5" s="136"/>
      <c r="C5" s="136"/>
      <c r="D5" s="136"/>
      <c r="E5" s="136"/>
      <c r="F5" s="136"/>
      <c r="G5" s="137"/>
      <c r="H5" s="9">
        <f>CEILING(1250*USD,10)</f>
        <v>80800</v>
      </c>
      <c r="I5" s="8">
        <v>0</v>
      </c>
      <c r="J5" s="9">
        <f t="shared" ref="J5:J10" si="0">H5</f>
        <v>80800</v>
      </c>
    </row>
    <row r="6" spans="1:10" ht="20.100000000000001" customHeight="1" x14ac:dyDescent="0.25">
      <c r="A6" s="135" t="s">
        <v>1048</v>
      </c>
      <c r="B6" s="136"/>
      <c r="C6" s="136"/>
      <c r="D6" s="136"/>
      <c r="E6" s="136"/>
      <c r="F6" s="136"/>
      <c r="G6" s="137"/>
      <c r="H6" s="9">
        <f>CEILING(61*USD,10)</f>
        <v>3950</v>
      </c>
      <c r="I6" s="8">
        <v>0</v>
      </c>
      <c r="J6" s="9">
        <f t="shared" si="0"/>
        <v>3950</v>
      </c>
    </row>
    <row r="7" spans="1:10" ht="20.100000000000001" customHeight="1" x14ac:dyDescent="0.25">
      <c r="A7" s="135" t="s">
        <v>1050</v>
      </c>
      <c r="B7" s="136"/>
      <c r="C7" s="136"/>
      <c r="D7" s="136"/>
      <c r="E7" s="136"/>
      <c r="F7" s="136"/>
      <c r="G7" s="137"/>
      <c r="H7" s="9">
        <f>CEILING(1715*USD,10)</f>
        <v>110860</v>
      </c>
      <c r="I7" s="8">
        <v>0</v>
      </c>
      <c r="J7" s="9">
        <f t="shared" si="0"/>
        <v>110860</v>
      </c>
    </row>
    <row r="8" spans="1:10" ht="20.100000000000001" customHeight="1" x14ac:dyDescent="0.25">
      <c r="A8" s="135" t="s">
        <v>1051</v>
      </c>
      <c r="B8" s="136"/>
      <c r="C8" s="136"/>
      <c r="D8" s="136"/>
      <c r="E8" s="136"/>
      <c r="F8" s="136"/>
      <c r="G8" s="137"/>
      <c r="H8" s="9">
        <f>CEILING(1120*USD,10)</f>
        <v>72400</v>
      </c>
      <c r="I8" s="8">
        <v>0</v>
      </c>
      <c r="J8" s="9">
        <f t="shared" si="0"/>
        <v>72400</v>
      </c>
    </row>
    <row r="9" spans="1:10" ht="20.100000000000001" customHeight="1" x14ac:dyDescent="0.25">
      <c r="A9" s="135" t="s">
        <v>1052</v>
      </c>
      <c r="B9" s="136"/>
      <c r="C9" s="136"/>
      <c r="D9" s="136"/>
      <c r="E9" s="136"/>
      <c r="F9" s="136"/>
      <c r="G9" s="137"/>
      <c r="H9" s="9">
        <f>CEILING(1420*USD,10)</f>
        <v>91790</v>
      </c>
      <c r="I9" s="8">
        <v>0</v>
      </c>
      <c r="J9" s="9">
        <f t="shared" si="0"/>
        <v>91790</v>
      </c>
    </row>
    <row r="10" spans="1:10" ht="20.100000000000001" customHeight="1" x14ac:dyDescent="0.25">
      <c r="A10" s="135" t="s">
        <v>1053</v>
      </c>
      <c r="B10" s="136"/>
      <c r="C10" s="136"/>
      <c r="D10" s="136"/>
      <c r="E10" s="136"/>
      <c r="F10" s="136"/>
      <c r="G10" s="137"/>
      <c r="H10" s="9">
        <v>1630</v>
      </c>
      <c r="I10" s="8">
        <v>0</v>
      </c>
      <c r="J10" s="9">
        <f t="shared" si="0"/>
        <v>1630</v>
      </c>
    </row>
    <row r="11" spans="1:10" ht="20.100000000000001" customHeight="1" x14ac:dyDescent="0.25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  <row r="12" spans="1:10" ht="39.950000000000003" customHeight="1" x14ac:dyDescent="0.25">
      <c r="A12" s="129" t="s">
        <v>1609</v>
      </c>
      <c r="B12" s="130"/>
      <c r="C12" s="130"/>
      <c r="D12" s="130"/>
      <c r="E12" s="130"/>
      <c r="F12" s="130"/>
      <c r="G12" s="130"/>
      <c r="H12" s="130"/>
      <c r="I12" s="130"/>
      <c r="J12" s="130"/>
    </row>
    <row r="13" spans="1:10" ht="30" customHeight="1" x14ac:dyDescent="0.25">
      <c r="A13" s="58"/>
      <c r="B13" s="39" t="s">
        <v>2</v>
      </c>
      <c r="C13" s="4" t="s">
        <v>48</v>
      </c>
      <c r="D13" s="39" t="s">
        <v>49</v>
      </c>
      <c r="E13" s="39" t="s">
        <v>9</v>
      </c>
      <c r="F13" s="39" t="s">
        <v>10</v>
      </c>
      <c r="G13" s="4" t="s">
        <v>11</v>
      </c>
      <c r="H13" s="4" t="s">
        <v>17</v>
      </c>
      <c r="I13" s="4" t="s">
        <v>12</v>
      </c>
      <c r="J13" s="4" t="s">
        <v>18</v>
      </c>
    </row>
    <row r="14" spans="1:10" ht="120" customHeight="1" x14ac:dyDescent="0.25">
      <c r="A14" s="58"/>
      <c r="B14" s="6" t="s">
        <v>1502</v>
      </c>
      <c r="C14" s="58" t="s">
        <v>76</v>
      </c>
      <c r="D14" s="58" t="s">
        <v>77</v>
      </c>
      <c r="E14" s="58" t="s">
        <v>14</v>
      </c>
      <c r="F14" s="58" t="s">
        <v>15</v>
      </c>
      <c r="G14" s="58" t="s">
        <v>78</v>
      </c>
      <c r="H14" s="25">
        <f>CEILING(4170*USD,10)</f>
        <v>269550</v>
      </c>
      <c r="I14" s="62">
        <v>0.2</v>
      </c>
      <c r="J14" s="25">
        <f>CEILING(H14*0.8,10)</f>
        <v>215640</v>
      </c>
    </row>
    <row r="15" spans="1:10" ht="20.100000000000001" customHeight="1" x14ac:dyDescent="0.25">
      <c r="A15" s="140" t="s">
        <v>74</v>
      </c>
      <c r="B15" s="141"/>
      <c r="C15" s="141"/>
      <c r="D15" s="141"/>
      <c r="E15" s="141"/>
      <c r="F15" s="141"/>
      <c r="G15" s="141"/>
      <c r="H15" s="141"/>
      <c r="I15" s="141"/>
      <c r="J15" s="142"/>
    </row>
    <row r="16" spans="1:10" ht="20.100000000000001" customHeight="1" x14ac:dyDescent="0.25">
      <c r="A16" s="135" t="s">
        <v>1610</v>
      </c>
      <c r="B16" s="136"/>
      <c r="C16" s="136"/>
      <c r="D16" s="136"/>
      <c r="E16" s="136"/>
      <c r="F16" s="136"/>
      <c r="G16" s="137"/>
      <c r="H16" s="9">
        <v>14790</v>
      </c>
      <c r="I16" s="8">
        <v>0</v>
      </c>
      <c r="J16" s="9">
        <f>H16</f>
        <v>14790</v>
      </c>
    </row>
    <row r="17" spans="1:10" ht="20.100000000000001" customHeight="1" x14ac:dyDescent="0.25">
      <c r="A17" s="135" t="s">
        <v>1291</v>
      </c>
      <c r="B17" s="136"/>
      <c r="C17" s="136"/>
      <c r="D17" s="136"/>
      <c r="E17" s="136"/>
      <c r="F17" s="136"/>
      <c r="G17" s="137"/>
      <c r="H17" s="9">
        <v>1224</v>
      </c>
      <c r="I17" s="8">
        <v>0</v>
      </c>
      <c r="J17" s="9">
        <f t="shared" ref="J17:J23" si="1">H17</f>
        <v>1224</v>
      </c>
    </row>
    <row r="18" spans="1:10" ht="20.100000000000001" customHeight="1" x14ac:dyDescent="0.25">
      <c r="A18" s="135" t="s">
        <v>1053</v>
      </c>
      <c r="B18" s="136"/>
      <c r="C18" s="136"/>
      <c r="D18" s="136"/>
      <c r="E18" s="136"/>
      <c r="F18" s="136"/>
      <c r="G18" s="137"/>
      <c r="H18" s="9">
        <v>1630</v>
      </c>
      <c r="I18" s="8">
        <v>0</v>
      </c>
      <c r="J18" s="9">
        <f t="shared" si="1"/>
        <v>1630</v>
      </c>
    </row>
    <row r="19" spans="1:10" ht="20.100000000000001" customHeight="1" x14ac:dyDescent="0.25">
      <c r="A19" s="135" t="s">
        <v>79</v>
      </c>
      <c r="B19" s="136"/>
      <c r="C19" s="136"/>
      <c r="D19" s="136"/>
      <c r="E19" s="136"/>
      <c r="F19" s="136"/>
      <c r="G19" s="137"/>
      <c r="H19" s="9">
        <f>CEILING(640*USD,10)</f>
        <v>41370</v>
      </c>
      <c r="I19" s="8">
        <v>0</v>
      </c>
      <c r="J19" s="9">
        <f t="shared" si="1"/>
        <v>41370</v>
      </c>
    </row>
    <row r="20" spans="1:10" ht="20.100000000000001" customHeight="1" x14ac:dyDescent="0.25">
      <c r="A20" s="135" t="s">
        <v>1292</v>
      </c>
      <c r="B20" s="136"/>
      <c r="C20" s="136"/>
      <c r="D20" s="136"/>
      <c r="E20" s="136"/>
      <c r="F20" s="136"/>
      <c r="G20" s="137"/>
      <c r="H20" s="9">
        <f>CEILING(670*USD,10)</f>
        <v>43310</v>
      </c>
      <c r="I20" s="8">
        <v>0</v>
      </c>
      <c r="J20" s="9">
        <f t="shared" si="1"/>
        <v>43310</v>
      </c>
    </row>
    <row r="21" spans="1:10" ht="20.100000000000001" customHeight="1" x14ac:dyDescent="0.25">
      <c r="A21" s="135" t="s">
        <v>80</v>
      </c>
      <c r="B21" s="136"/>
      <c r="C21" s="136"/>
      <c r="D21" s="136"/>
      <c r="E21" s="136"/>
      <c r="F21" s="136"/>
      <c r="G21" s="137"/>
      <c r="H21" s="9">
        <f>CEILING(367*USD,10)</f>
        <v>23730</v>
      </c>
      <c r="I21" s="8">
        <v>0</v>
      </c>
      <c r="J21" s="9">
        <f t="shared" si="1"/>
        <v>23730</v>
      </c>
    </row>
    <row r="22" spans="1:10" ht="20.100000000000001" customHeight="1" x14ac:dyDescent="0.25">
      <c r="A22" s="135" t="s">
        <v>81</v>
      </c>
      <c r="B22" s="136"/>
      <c r="C22" s="136"/>
      <c r="D22" s="136"/>
      <c r="E22" s="136"/>
      <c r="F22" s="136"/>
      <c r="G22" s="137"/>
      <c r="H22" s="9">
        <f>CEILING(455*USD,10)</f>
        <v>29420</v>
      </c>
      <c r="I22" s="8">
        <v>0</v>
      </c>
      <c r="J22" s="9">
        <f t="shared" si="1"/>
        <v>29420</v>
      </c>
    </row>
    <row r="23" spans="1:10" ht="20.100000000000001" customHeight="1" x14ac:dyDescent="0.25">
      <c r="A23" s="135" t="s">
        <v>82</v>
      </c>
      <c r="B23" s="136"/>
      <c r="C23" s="136"/>
      <c r="D23" s="136"/>
      <c r="E23" s="136"/>
      <c r="F23" s="136"/>
      <c r="G23" s="137"/>
      <c r="H23" s="9">
        <f>CEILING(1020*USD,10)</f>
        <v>65940</v>
      </c>
      <c r="I23" s="8">
        <v>0</v>
      </c>
      <c r="J23" s="9">
        <f t="shared" si="1"/>
        <v>65940</v>
      </c>
    </row>
    <row r="24" spans="1:10" ht="20.100000000000001" customHeight="1" x14ac:dyDescent="0.25">
      <c r="A24" s="124"/>
      <c r="B24" s="124"/>
      <c r="C24" s="124"/>
      <c r="D24" s="124"/>
      <c r="E24" s="124"/>
      <c r="F24" s="124"/>
      <c r="G24" s="124"/>
      <c r="H24" s="124"/>
      <c r="I24" s="124"/>
      <c r="J24" s="124"/>
    </row>
    <row r="25" spans="1:10" ht="39.950000000000003" customHeight="1" x14ac:dyDescent="0.25">
      <c r="A25" s="129" t="s">
        <v>1611</v>
      </c>
      <c r="B25" s="130"/>
      <c r="C25" s="130"/>
      <c r="D25" s="130"/>
      <c r="E25" s="130"/>
      <c r="F25" s="130"/>
      <c r="G25" s="130"/>
      <c r="H25" s="130"/>
      <c r="I25" s="130"/>
      <c r="J25" s="130"/>
    </row>
    <row r="26" spans="1:10" ht="30" customHeight="1" x14ac:dyDescent="0.25">
      <c r="A26" s="58"/>
      <c r="B26" s="39" t="s">
        <v>2</v>
      </c>
      <c r="C26" s="4" t="s">
        <v>48</v>
      </c>
      <c r="D26" s="39" t="s">
        <v>49</v>
      </c>
      <c r="E26" s="39" t="s">
        <v>9</v>
      </c>
      <c r="F26" s="39" t="s">
        <v>10</v>
      </c>
      <c r="G26" s="4" t="s">
        <v>11</v>
      </c>
      <c r="H26" s="4" t="s">
        <v>17</v>
      </c>
      <c r="I26" s="4" t="s">
        <v>12</v>
      </c>
      <c r="J26" s="4" t="s">
        <v>18</v>
      </c>
    </row>
    <row r="27" spans="1:10" ht="120" customHeight="1" x14ac:dyDescent="0.25">
      <c r="A27" s="58"/>
      <c r="B27" s="6" t="s">
        <v>1503</v>
      </c>
      <c r="C27" s="58" t="s">
        <v>52</v>
      </c>
      <c r="D27" s="58" t="s">
        <v>53</v>
      </c>
      <c r="E27" s="58" t="s">
        <v>14</v>
      </c>
      <c r="F27" s="58" t="s">
        <v>15</v>
      </c>
      <c r="G27" s="58" t="s">
        <v>78</v>
      </c>
      <c r="H27" s="25">
        <f>CEILING(2740*USD,10)</f>
        <v>177120</v>
      </c>
      <c r="I27" s="62">
        <v>0.2</v>
      </c>
      <c r="J27" s="25">
        <f>CEILING(H27*0.8,10)</f>
        <v>141700</v>
      </c>
    </row>
    <row r="28" spans="1:10" ht="20.100000000000001" customHeight="1" x14ac:dyDescent="0.25">
      <c r="A28" s="140" t="s">
        <v>74</v>
      </c>
      <c r="B28" s="141"/>
      <c r="C28" s="141"/>
      <c r="D28" s="141"/>
      <c r="E28" s="141"/>
      <c r="F28" s="141"/>
      <c r="G28" s="141"/>
      <c r="H28" s="141"/>
      <c r="I28" s="141"/>
      <c r="J28" s="142"/>
    </row>
    <row r="29" spans="1:10" ht="20.100000000000001" customHeight="1" x14ac:dyDescent="0.25">
      <c r="A29" s="135" t="s">
        <v>1610</v>
      </c>
      <c r="B29" s="136"/>
      <c r="C29" s="136"/>
      <c r="D29" s="136"/>
      <c r="E29" s="136"/>
      <c r="F29" s="136"/>
      <c r="G29" s="137"/>
      <c r="H29" s="9">
        <v>14790</v>
      </c>
      <c r="I29" s="8">
        <v>0</v>
      </c>
      <c r="J29" s="9">
        <f>H29</f>
        <v>14790</v>
      </c>
    </row>
    <row r="30" spans="1:10" ht="20.100000000000001" customHeight="1" x14ac:dyDescent="0.25">
      <c r="A30" s="135" t="s">
        <v>1291</v>
      </c>
      <c r="B30" s="136"/>
      <c r="C30" s="136"/>
      <c r="D30" s="136"/>
      <c r="E30" s="136"/>
      <c r="F30" s="136"/>
      <c r="G30" s="137"/>
      <c r="H30" s="9">
        <v>1224</v>
      </c>
      <c r="I30" s="8">
        <v>0</v>
      </c>
      <c r="J30" s="9">
        <f t="shared" ref="J30:J36" si="2">H30</f>
        <v>1224</v>
      </c>
    </row>
    <row r="31" spans="1:10" ht="20.100000000000001" customHeight="1" x14ac:dyDescent="0.25">
      <c r="A31" s="135" t="s">
        <v>1053</v>
      </c>
      <c r="B31" s="136"/>
      <c r="C31" s="136"/>
      <c r="D31" s="136"/>
      <c r="E31" s="136"/>
      <c r="F31" s="136"/>
      <c r="G31" s="137"/>
      <c r="H31" s="9">
        <v>1630</v>
      </c>
      <c r="I31" s="8">
        <v>0</v>
      </c>
      <c r="J31" s="9">
        <f t="shared" si="2"/>
        <v>1630</v>
      </c>
    </row>
    <row r="32" spans="1:10" ht="20.100000000000001" customHeight="1" x14ac:dyDescent="0.25">
      <c r="A32" s="135" t="s">
        <v>79</v>
      </c>
      <c r="B32" s="136"/>
      <c r="C32" s="136"/>
      <c r="D32" s="136"/>
      <c r="E32" s="136"/>
      <c r="F32" s="136"/>
      <c r="G32" s="137"/>
      <c r="H32" s="9">
        <f>CEILING(640*USD,10)</f>
        <v>41370</v>
      </c>
      <c r="I32" s="8">
        <v>0</v>
      </c>
      <c r="J32" s="9">
        <f t="shared" si="2"/>
        <v>41370</v>
      </c>
    </row>
    <row r="33" spans="1:10" ht="20.100000000000001" customHeight="1" x14ac:dyDescent="0.25">
      <c r="A33" s="135" t="s">
        <v>1292</v>
      </c>
      <c r="B33" s="136"/>
      <c r="C33" s="136"/>
      <c r="D33" s="136"/>
      <c r="E33" s="136"/>
      <c r="F33" s="136"/>
      <c r="G33" s="137"/>
      <c r="H33" s="9">
        <f>CEILING(670*USD,10)</f>
        <v>43310</v>
      </c>
      <c r="I33" s="8">
        <v>0</v>
      </c>
      <c r="J33" s="9">
        <f t="shared" si="2"/>
        <v>43310</v>
      </c>
    </row>
    <row r="34" spans="1:10" ht="20.100000000000001" customHeight="1" x14ac:dyDescent="0.25">
      <c r="A34" s="135" t="s">
        <v>80</v>
      </c>
      <c r="B34" s="136"/>
      <c r="C34" s="136"/>
      <c r="D34" s="136"/>
      <c r="E34" s="136"/>
      <c r="F34" s="136"/>
      <c r="G34" s="137"/>
      <c r="H34" s="9">
        <f>CEILING(367*USD,10)</f>
        <v>23730</v>
      </c>
      <c r="I34" s="8">
        <v>0</v>
      </c>
      <c r="J34" s="9">
        <f t="shared" si="2"/>
        <v>23730</v>
      </c>
    </row>
    <row r="35" spans="1:10" ht="20.100000000000001" customHeight="1" x14ac:dyDescent="0.25">
      <c r="A35" s="135" t="s">
        <v>81</v>
      </c>
      <c r="B35" s="136"/>
      <c r="C35" s="136"/>
      <c r="D35" s="136"/>
      <c r="E35" s="136"/>
      <c r="F35" s="136"/>
      <c r="G35" s="137"/>
      <c r="H35" s="9">
        <f>CEILING(455*USD,10)</f>
        <v>29420</v>
      </c>
      <c r="I35" s="8">
        <v>0</v>
      </c>
      <c r="J35" s="9">
        <f t="shared" si="2"/>
        <v>29420</v>
      </c>
    </row>
    <row r="36" spans="1:10" ht="20.100000000000001" customHeight="1" x14ac:dyDescent="0.25">
      <c r="A36" s="135" t="s">
        <v>82</v>
      </c>
      <c r="B36" s="136"/>
      <c r="C36" s="136"/>
      <c r="D36" s="136"/>
      <c r="E36" s="136"/>
      <c r="F36" s="136"/>
      <c r="G36" s="137"/>
      <c r="H36" s="9">
        <f>CEILING(1020*USD,10)</f>
        <v>65940</v>
      </c>
      <c r="I36" s="8">
        <v>0</v>
      </c>
      <c r="J36" s="9">
        <f t="shared" si="2"/>
        <v>65940</v>
      </c>
    </row>
    <row r="37" spans="1:10" ht="20.100000000000001" customHeight="1" x14ac:dyDescent="0.25">
      <c r="A37" s="124"/>
      <c r="B37" s="124"/>
      <c r="C37" s="124"/>
      <c r="D37" s="124"/>
      <c r="E37" s="124"/>
      <c r="F37" s="124"/>
      <c r="G37" s="124"/>
      <c r="H37" s="124"/>
      <c r="I37" s="124"/>
      <c r="J37" s="124"/>
    </row>
    <row r="38" spans="1:10" ht="39.950000000000003" customHeight="1" x14ac:dyDescent="0.25">
      <c r="A38" s="129" t="s">
        <v>1504</v>
      </c>
      <c r="B38" s="130"/>
      <c r="C38" s="130"/>
      <c r="D38" s="130"/>
      <c r="E38" s="130"/>
      <c r="F38" s="130"/>
      <c r="G38" s="130"/>
      <c r="H38" s="130"/>
      <c r="I38" s="130"/>
      <c r="J38" s="130"/>
    </row>
    <row r="39" spans="1:10" ht="30" customHeight="1" x14ac:dyDescent="0.25">
      <c r="A39" s="58"/>
      <c r="B39" s="39" t="s">
        <v>2</v>
      </c>
      <c r="C39" s="4" t="s">
        <v>48</v>
      </c>
      <c r="D39" s="4" t="s">
        <v>49</v>
      </c>
      <c r="E39" s="39" t="s">
        <v>9</v>
      </c>
      <c r="F39" s="39" t="s">
        <v>10</v>
      </c>
      <c r="G39" s="4" t="s">
        <v>11</v>
      </c>
      <c r="H39" s="4" t="s">
        <v>17</v>
      </c>
      <c r="I39" s="4" t="s">
        <v>12</v>
      </c>
      <c r="J39" s="4" t="s">
        <v>18</v>
      </c>
    </row>
    <row r="40" spans="1:10" ht="20.100000000000001" customHeight="1" x14ac:dyDescent="0.25">
      <c r="A40" s="124"/>
      <c r="B40" s="6" t="s">
        <v>1505</v>
      </c>
      <c r="C40" s="58" t="s">
        <v>83</v>
      </c>
      <c r="D40" s="58" t="s">
        <v>53</v>
      </c>
      <c r="E40" s="58" t="s">
        <v>14</v>
      </c>
      <c r="F40" s="58" t="s">
        <v>13</v>
      </c>
      <c r="G40" s="58" t="s">
        <v>78</v>
      </c>
      <c r="H40" s="9">
        <f>CEILING(1570*USD,10)</f>
        <v>101490</v>
      </c>
      <c r="I40" s="8">
        <v>0.2</v>
      </c>
      <c r="J40" s="9">
        <f t="shared" ref="J40:J45" si="3">CEILING(H40*0.8,10)</f>
        <v>81200</v>
      </c>
    </row>
    <row r="41" spans="1:10" ht="20.100000000000001" customHeight="1" x14ac:dyDescent="0.25">
      <c r="A41" s="124"/>
      <c r="B41" s="6" t="s">
        <v>1506</v>
      </c>
      <c r="C41" s="58" t="s">
        <v>83</v>
      </c>
      <c r="D41" s="58" t="s">
        <v>53</v>
      </c>
      <c r="E41" s="58" t="s">
        <v>14</v>
      </c>
      <c r="F41" s="58" t="s">
        <v>15</v>
      </c>
      <c r="G41" s="58" t="s">
        <v>78</v>
      </c>
      <c r="H41" s="9">
        <f>CEILING(1720*USD,10)</f>
        <v>111190</v>
      </c>
      <c r="I41" s="8">
        <v>0.2</v>
      </c>
      <c r="J41" s="9">
        <f t="shared" si="3"/>
        <v>88960</v>
      </c>
    </row>
    <row r="42" spans="1:10" ht="20.100000000000001" customHeight="1" x14ac:dyDescent="0.25">
      <c r="A42" s="124"/>
      <c r="B42" s="6" t="s">
        <v>1507</v>
      </c>
      <c r="C42" s="58" t="s">
        <v>51</v>
      </c>
      <c r="D42" s="58" t="s">
        <v>53</v>
      </c>
      <c r="E42" s="58" t="s">
        <v>14</v>
      </c>
      <c r="F42" s="58" t="s">
        <v>13</v>
      </c>
      <c r="G42" s="58" t="s">
        <v>78</v>
      </c>
      <c r="H42" s="9">
        <f>CEILING(1650*USD,10)</f>
        <v>106660</v>
      </c>
      <c r="I42" s="8">
        <v>0.2</v>
      </c>
      <c r="J42" s="9">
        <f t="shared" si="3"/>
        <v>85330</v>
      </c>
    </row>
    <row r="43" spans="1:10" ht="20.100000000000001" customHeight="1" x14ac:dyDescent="0.25">
      <c r="A43" s="124"/>
      <c r="B43" s="6" t="s">
        <v>1508</v>
      </c>
      <c r="C43" s="58" t="s">
        <v>51</v>
      </c>
      <c r="D43" s="58" t="s">
        <v>53</v>
      </c>
      <c r="E43" s="58" t="s">
        <v>14</v>
      </c>
      <c r="F43" s="58" t="s">
        <v>15</v>
      </c>
      <c r="G43" s="58" t="s">
        <v>78</v>
      </c>
      <c r="H43" s="9">
        <f>CEILING(1800*USD,10)</f>
        <v>116360</v>
      </c>
      <c r="I43" s="8">
        <v>0.2</v>
      </c>
      <c r="J43" s="9">
        <f t="shared" si="3"/>
        <v>93090</v>
      </c>
    </row>
    <row r="44" spans="1:10" ht="20.100000000000001" customHeight="1" x14ac:dyDescent="0.25">
      <c r="A44" s="124"/>
      <c r="B44" s="6" t="s">
        <v>1509</v>
      </c>
      <c r="C44" s="58" t="s">
        <v>52</v>
      </c>
      <c r="D44" s="58" t="s">
        <v>53</v>
      </c>
      <c r="E44" s="58" t="s">
        <v>14</v>
      </c>
      <c r="F44" s="58" t="s">
        <v>13</v>
      </c>
      <c r="G44" s="58" t="s">
        <v>78</v>
      </c>
      <c r="H44" s="9">
        <f>CEILING(1770*USD,10)</f>
        <v>114420</v>
      </c>
      <c r="I44" s="8">
        <v>0.2</v>
      </c>
      <c r="J44" s="9">
        <f t="shared" si="3"/>
        <v>91540</v>
      </c>
    </row>
    <row r="45" spans="1:10" ht="20.100000000000001" customHeight="1" x14ac:dyDescent="0.25">
      <c r="A45" s="124"/>
      <c r="B45" s="6" t="s">
        <v>1510</v>
      </c>
      <c r="C45" s="58" t="s">
        <v>52</v>
      </c>
      <c r="D45" s="58" t="s">
        <v>53</v>
      </c>
      <c r="E45" s="58" t="s">
        <v>14</v>
      </c>
      <c r="F45" s="58" t="s">
        <v>15</v>
      </c>
      <c r="G45" s="58" t="s">
        <v>78</v>
      </c>
      <c r="H45" s="9">
        <f>CEILING(1935*USD,10)</f>
        <v>125080</v>
      </c>
      <c r="I45" s="8">
        <v>0.2</v>
      </c>
      <c r="J45" s="9">
        <f t="shared" si="3"/>
        <v>100070</v>
      </c>
    </row>
    <row r="46" spans="1:10" ht="20.100000000000001" customHeight="1" x14ac:dyDescent="0.25">
      <c r="A46" s="140" t="s">
        <v>74</v>
      </c>
      <c r="B46" s="141"/>
      <c r="C46" s="141"/>
      <c r="D46" s="141"/>
      <c r="E46" s="141"/>
      <c r="F46" s="141"/>
      <c r="G46" s="141"/>
      <c r="H46" s="141"/>
      <c r="I46" s="141"/>
      <c r="J46" s="142"/>
    </row>
    <row r="47" spans="1:10" ht="20.100000000000001" customHeight="1" x14ac:dyDescent="0.25">
      <c r="A47" s="135" t="s">
        <v>1610</v>
      </c>
      <c r="B47" s="136"/>
      <c r="C47" s="136"/>
      <c r="D47" s="136"/>
      <c r="E47" s="136"/>
      <c r="F47" s="136"/>
      <c r="G47" s="137"/>
      <c r="H47" s="9">
        <v>14790</v>
      </c>
      <c r="I47" s="8">
        <v>0</v>
      </c>
      <c r="J47" s="9">
        <f>H47</f>
        <v>14790</v>
      </c>
    </row>
    <row r="48" spans="1:10" ht="20.100000000000001" customHeight="1" x14ac:dyDescent="0.25">
      <c r="A48" s="135" t="s">
        <v>1291</v>
      </c>
      <c r="B48" s="136"/>
      <c r="C48" s="136"/>
      <c r="D48" s="136"/>
      <c r="E48" s="136"/>
      <c r="F48" s="136"/>
      <c r="G48" s="137"/>
      <c r="H48" s="9">
        <v>1224</v>
      </c>
      <c r="I48" s="8">
        <v>0</v>
      </c>
      <c r="J48" s="9">
        <f t="shared" ref="J48:J54" si="4">H48</f>
        <v>1224</v>
      </c>
    </row>
    <row r="49" spans="1:10" ht="20.100000000000001" customHeight="1" x14ac:dyDescent="0.25">
      <c r="A49" s="135" t="s">
        <v>1053</v>
      </c>
      <c r="B49" s="136"/>
      <c r="C49" s="136"/>
      <c r="D49" s="136"/>
      <c r="E49" s="136"/>
      <c r="F49" s="136"/>
      <c r="G49" s="137"/>
      <c r="H49" s="9">
        <v>1630</v>
      </c>
      <c r="I49" s="8">
        <v>0</v>
      </c>
      <c r="J49" s="9">
        <f t="shared" si="4"/>
        <v>1630</v>
      </c>
    </row>
    <row r="50" spans="1:10" ht="20.100000000000001" customHeight="1" x14ac:dyDescent="0.25">
      <c r="A50" s="135" t="s">
        <v>79</v>
      </c>
      <c r="B50" s="136"/>
      <c r="C50" s="136"/>
      <c r="D50" s="136"/>
      <c r="E50" s="136"/>
      <c r="F50" s="136"/>
      <c r="G50" s="137"/>
      <c r="H50" s="9">
        <f>CEILING(640*USD,10)</f>
        <v>41370</v>
      </c>
      <c r="I50" s="8">
        <v>0</v>
      </c>
      <c r="J50" s="9">
        <f t="shared" si="4"/>
        <v>41370</v>
      </c>
    </row>
    <row r="51" spans="1:10" ht="20.100000000000001" customHeight="1" x14ac:dyDescent="0.25">
      <c r="A51" s="135" t="s">
        <v>1292</v>
      </c>
      <c r="B51" s="136"/>
      <c r="C51" s="136"/>
      <c r="D51" s="136"/>
      <c r="E51" s="136"/>
      <c r="F51" s="136"/>
      <c r="G51" s="137"/>
      <c r="H51" s="9">
        <f>CEILING(670*USD,10)</f>
        <v>43310</v>
      </c>
      <c r="I51" s="8">
        <v>0</v>
      </c>
      <c r="J51" s="9">
        <f t="shared" si="4"/>
        <v>43310</v>
      </c>
    </row>
    <row r="52" spans="1:10" ht="20.100000000000001" customHeight="1" x14ac:dyDescent="0.25">
      <c r="A52" s="135" t="s">
        <v>80</v>
      </c>
      <c r="B52" s="136"/>
      <c r="C52" s="136"/>
      <c r="D52" s="136"/>
      <c r="E52" s="136"/>
      <c r="F52" s="136"/>
      <c r="G52" s="137"/>
      <c r="H52" s="9">
        <f>CEILING(367*USD,10)</f>
        <v>23730</v>
      </c>
      <c r="I52" s="8">
        <v>0</v>
      </c>
      <c r="J52" s="9">
        <f t="shared" si="4"/>
        <v>23730</v>
      </c>
    </row>
    <row r="53" spans="1:10" ht="20.100000000000001" customHeight="1" x14ac:dyDescent="0.25">
      <c r="A53" s="135" t="s">
        <v>81</v>
      </c>
      <c r="B53" s="136"/>
      <c r="C53" s="136"/>
      <c r="D53" s="136"/>
      <c r="E53" s="136"/>
      <c r="F53" s="136"/>
      <c r="G53" s="137"/>
      <c r="H53" s="9">
        <f>CEILING(455*USD,10)</f>
        <v>29420</v>
      </c>
      <c r="I53" s="8">
        <v>0</v>
      </c>
      <c r="J53" s="9">
        <f t="shared" si="4"/>
        <v>29420</v>
      </c>
    </row>
    <row r="54" spans="1:10" ht="20.100000000000001" customHeight="1" x14ac:dyDescent="0.25">
      <c r="A54" s="135" t="s">
        <v>82</v>
      </c>
      <c r="B54" s="136"/>
      <c r="C54" s="136"/>
      <c r="D54" s="136"/>
      <c r="E54" s="136"/>
      <c r="F54" s="136"/>
      <c r="G54" s="137"/>
      <c r="H54" s="9">
        <f>CEILING(1020*USD,10)</f>
        <v>65940</v>
      </c>
      <c r="I54" s="8">
        <v>0</v>
      </c>
      <c r="J54" s="9">
        <f t="shared" si="4"/>
        <v>65940</v>
      </c>
    </row>
    <row r="55" spans="1:10" ht="20.100000000000001" customHeight="1" x14ac:dyDescent="0.25">
      <c r="A55" s="124"/>
      <c r="B55" s="124"/>
      <c r="C55" s="124"/>
      <c r="D55" s="124"/>
      <c r="E55" s="124"/>
      <c r="F55" s="124"/>
      <c r="G55" s="124"/>
      <c r="H55" s="124"/>
      <c r="I55" s="124"/>
      <c r="J55" s="124"/>
    </row>
    <row r="56" spans="1:10" ht="39.950000000000003" customHeight="1" x14ac:dyDescent="0.25">
      <c r="A56" s="129" t="s">
        <v>1612</v>
      </c>
      <c r="B56" s="130"/>
      <c r="C56" s="130"/>
      <c r="D56" s="130"/>
      <c r="E56" s="130"/>
      <c r="F56" s="130"/>
      <c r="G56" s="130"/>
      <c r="H56" s="130"/>
      <c r="I56" s="130"/>
      <c r="J56" s="130"/>
    </row>
    <row r="57" spans="1:10" ht="30" customHeight="1" x14ac:dyDescent="0.25">
      <c r="A57" s="5"/>
      <c r="B57" s="3" t="s">
        <v>2</v>
      </c>
      <c r="C57" s="4" t="s">
        <v>48</v>
      </c>
      <c r="D57" s="4" t="s">
        <v>49</v>
      </c>
      <c r="E57" s="3" t="s">
        <v>9</v>
      </c>
      <c r="F57" s="3" t="s">
        <v>10</v>
      </c>
      <c r="G57" s="4" t="s">
        <v>11</v>
      </c>
      <c r="H57" s="4" t="s">
        <v>17</v>
      </c>
      <c r="I57" s="4" t="s">
        <v>12</v>
      </c>
      <c r="J57" s="4" t="s">
        <v>18</v>
      </c>
    </row>
    <row r="58" spans="1:10" ht="60" customHeight="1" x14ac:dyDescent="0.25">
      <c r="A58" s="124"/>
      <c r="B58" s="3" t="s">
        <v>1054</v>
      </c>
      <c r="C58" s="21" t="s">
        <v>1512</v>
      </c>
      <c r="D58" s="21" t="s">
        <v>1511</v>
      </c>
      <c r="E58" s="21" t="s">
        <v>14</v>
      </c>
      <c r="F58" s="5" t="s">
        <v>13</v>
      </c>
      <c r="G58" s="5" t="s">
        <v>78</v>
      </c>
      <c r="H58" s="9">
        <f>CEILING(1340*USD,10)</f>
        <v>86620</v>
      </c>
      <c r="I58" s="8">
        <v>0.2</v>
      </c>
      <c r="J58" s="9">
        <f>CEILING(H58*0.8,10)</f>
        <v>69300</v>
      </c>
    </row>
    <row r="59" spans="1:10" ht="60" customHeight="1" x14ac:dyDescent="0.25">
      <c r="A59" s="124"/>
      <c r="B59" s="3" t="s">
        <v>1055</v>
      </c>
      <c r="C59" s="21" t="s">
        <v>1512</v>
      </c>
      <c r="D59" s="21" t="s">
        <v>1511</v>
      </c>
      <c r="E59" s="21" t="s">
        <v>14</v>
      </c>
      <c r="F59" s="5" t="s">
        <v>13</v>
      </c>
      <c r="G59" s="5" t="s">
        <v>78</v>
      </c>
      <c r="H59" s="9">
        <f>CEILING(1460*USD,10)</f>
        <v>94380</v>
      </c>
      <c r="I59" s="8">
        <v>0.2</v>
      </c>
      <c r="J59" s="9">
        <f>CEILING(H59*0.8,10)</f>
        <v>75510</v>
      </c>
    </row>
    <row r="60" spans="1:10" ht="60" customHeight="1" x14ac:dyDescent="0.25">
      <c r="A60" s="124"/>
      <c r="B60" s="3" t="s">
        <v>1056</v>
      </c>
      <c r="C60" s="21" t="s">
        <v>1514</v>
      </c>
      <c r="D60" s="21" t="s">
        <v>1513</v>
      </c>
      <c r="E60" s="21" t="s">
        <v>31</v>
      </c>
      <c r="F60" s="5" t="s">
        <v>13</v>
      </c>
      <c r="G60" s="5" t="s">
        <v>78</v>
      </c>
      <c r="H60" s="9">
        <f>CEILING(1100*USD,10)</f>
        <v>71110</v>
      </c>
      <c r="I60" s="8">
        <v>0.2</v>
      </c>
      <c r="J60" s="9">
        <f>CEILING(H60*0.8,10)</f>
        <v>56890</v>
      </c>
    </row>
    <row r="61" spans="1:10" ht="60" customHeight="1" x14ac:dyDescent="0.25">
      <c r="A61" s="124"/>
      <c r="B61" s="3" t="s">
        <v>1057</v>
      </c>
      <c r="C61" s="21" t="s">
        <v>1514</v>
      </c>
      <c r="D61" s="21" t="s">
        <v>1513</v>
      </c>
      <c r="E61" s="21" t="s">
        <v>31</v>
      </c>
      <c r="F61" s="5" t="s">
        <v>13</v>
      </c>
      <c r="G61" s="5" t="s">
        <v>78</v>
      </c>
      <c r="H61" s="9">
        <f>CEILING(1210*USD,10)</f>
        <v>78220</v>
      </c>
      <c r="I61" s="8">
        <v>0.2</v>
      </c>
      <c r="J61" s="9">
        <f>CEILING(H61*0.8,10)</f>
        <v>62580</v>
      </c>
    </row>
    <row r="62" spans="1:10" ht="20.100000000000001" customHeight="1" x14ac:dyDescent="0.25">
      <c r="A62" s="139" t="s">
        <v>74</v>
      </c>
      <c r="B62" s="139"/>
      <c r="C62" s="139"/>
      <c r="D62" s="139"/>
      <c r="E62" s="139"/>
      <c r="F62" s="139"/>
      <c r="G62" s="139"/>
      <c r="H62" s="139"/>
      <c r="I62" s="139"/>
      <c r="J62" s="139"/>
    </row>
    <row r="63" spans="1:10" ht="20.100000000000001" customHeight="1" x14ac:dyDescent="0.25">
      <c r="A63" s="135" t="s">
        <v>1610</v>
      </c>
      <c r="B63" s="136"/>
      <c r="C63" s="136"/>
      <c r="D63" s="136"/>
      <c r="E63" s="136"/>
      <c r="F63" s="136"/>
      <c r="G63" s="137"/>
      <c r="H63" s="9">
        <v>14790</v>
      </c>
      <c r="I63" s="8">
        <v>0</v>
      </c>
      <c r="J63" s="9">
        <f>H63</f>
        <v>14790</v>
      </c>
    </row>
    <row r="64" spans="1:10" ht="20.100000000000001" customHeight="1" x14ac:dyDescent="0.25">
      <c r="A64" s="135" t="s">
        <v>1291</v>
      </c>
      <c r="B64" s="136"/>
      <c r="C64" s="136"/>
      <c r="D64" s="136"/>
      <c r="E64" s="136"/>
      <c r="F64" s="136"/>
      <c r="G64" s="137"/>
      <c r="H64" s="9">
        <v>1220</v>
      </c>
      <c r="I64" s="8">
        <v>0</v>
      </c>
      <c r="J64" s="9">
        <f t="shared" ref="J64:J70" si="5">H64</f>
        <v>1220</v>
      </c>
    </row>
    <row r="65" spans="1:10" ht="20.100000000000001" customHeight="1" x14ac:dyDescent="0.25">
      <c r="A65" s="135" t="s">
        <v>1053</v>
      </c>
      <c r="B65" s="136"/>
      <c r="C65" s="136"/>
      <c r="D65" s="136"/>
      <c r="E65" s="136"/>
      <c r="F65" s="136"/>
      <c r="G65" s="137"/>
      <c r="H65" s="9">
        <v>1630</v>
      </c>
      <c r="I65" s="8">
        <v>0</v>
      </c>
      <c r="J65" s="9">
        <f t="shared" si="5"/>
        <v>1630</v>
      </c>
    </row>
    <row r="66" spans="1:10" ht="20.100000000000001" customHeight="1" x14ac:dyDescent="0.25">
      <c r="A66" s="135" t="s">
        <v>1059</v>
      </c>
      <c r="B66" s="136"/>
      <c r="C66" s="136"/>
      <c r="D66" s="136"/>
      <c r="E66" s="136"/>
      <c r="F66" s="136"/>
      <c r="G66" s="137"/>
      <c r="H66" s="9">
        <f>CEILING(122*USD,10)</f>
        <v>7890</v>
      </c>
      <c r="I66" s="8">
        <v>0</v>
      </c>
      <c r="J66" s="9">
        <f t="shared" si="5"/>
        <v>7890</v>
      </c>
    </row>
    <row r="67" spans="1:10" ht="20.100000000000001" customHeight="1" x14ac:dyDescent="0.25">
      <c r="A67" s="135" t="s">
        <v>1292</v>
      </c>
      <c r="B67" s="136"/>
      <c r="C67" s="136"/>
      <c r="D67" s="136"/>
      <c r="E67" s="136"/>
      <c r="F67" s="136"/>
      <c r="G67" s="137"/>
      <c r="H67" s="9">
        <f>CEILING(670*USD,10)</f>
        <v>43310</v>
      </c>
      <c r="I67" s="8">
        <v>0</v>
      </c>
      <c r="J67" s="9">
        <f t="shared" si="5"/>
        <v>43310</v>
      </c>
    </row>
    <row r="68" spans="1:10" ht="20.100000000000001" customHeight="1" x14ac:dyDescent="0.25">
      <c r="A68" s="135" t="s">
        <v>80</v>
      </c>
      <c r="B68" s="136"/>
      <c r="C68" s="136"/>
      <c r="D68" s="136"/>
      <c r="E68" s="136"/>
      <c r="F68" s="136"/>
      <c r="G68" s="137"/>
      <c r="H68" s="9">
        <f>CEILING(367*USD,10)</f>
        <v>23730</v>
      </c>
      <c r="I68" s="8">
        <v>0</v>
      </c>
      <c r="J68" s="9">
        <f t="shared" si="5"/>
        <v>23730</v>
      </c>
    </row>
    <row r="69" spans="1:10" ht="20.100000000000001" customHeight="1" x14ac:dyDescent="0.25">
      <c r="A69" s="135" t="s">
        <v>81</v>
      </c>
      <c r="B69" s="136"/>
      <c r="C69" s="136"/>
      <c r="D69" s="136"/>
      <c r="E69" s="136"/>
      <c r="F69" s="136"/>
      <c r="G69" s="137"/>
      <c r="H69" s="9">
        <f>CEILING(455*USD,10)</f>
        <v>29420</v>
      </c>
      <c r="I69" s="8">
        <v>0</v>
      </c>
      <c r="J69" s="9">
        <f t="shared" si="5"/>
        <v>29420</v>
      </c>
    </row>
    <row r="70" spans="1:10" ht="20.100000000000001" customHeight="1" x14ac:dyDescent="0.25">
      <c r="A70" s="135" t="s">
        <v>82</v>
      </c>
      <c r="B70" s="136"/>
      <c r="C70" s="136"/>
      <c r="D70" s="136"/>
      <c r="E70" s="136"/>
      <c r="F70" s="136"/>
      <c r="G70" s="137"/>
      <c r="H70" s="9">
        <f>CEILING(1020*USD,10)</f>
        <v>65940</v>
      </c>
      <c r="I70" s="8">
        <v>0</v>
      </c>
      <c r="J70" s="9">
        <f t="shared" si="5"/>
        <v>65940</v>
      </c>
    </row>
    <row r="71" spans="1:10" ht="20.100000000000001" customHeight="1" x14ac:dyDescent="0.25">
      <c r="A71" s="124"/>
      <c r="B71" s="124"/>
      <c r="C71" s="124"/>
      <c r="D71" s="124"/>
      <c r="E71" s="124"/>
      <c r="F71" s="124"/>
      <c r="G71" s="124"/>
      <c r="H71" s="124"/>
      <c r="I71" s="124"/>
      <c r="J71" s="124"/>
    </row>
    <row r="72" spans="1:10" ht="39.950000000000003" customHeight="1" x14ac:dyDescent="0.25">
      <c r="A72" s="129" t="s">
        <v>1515</v>
      </c>
      <c r="B72" s="130"/>
      <c r="C72" s="130"/>
      <c r="D72" s="130"/>
      <c r="E72" s="130"/>
      <c r="F72" s="130"/>
      <c r="G72" s="130"/>
      <c r="H72" s="130"/>
      <c r="I72" s="130"/>
      <c r="J72" s="130"/>
    </row>
    <row r="73" spans="1:10" ht="30" customHeight="1" x14ac:dyDescent="0.25">
      <c r="A73" s="58"/>
      <c r="B73" s="39" t="s">
        <v>2</v>
      </c>
      <c r="C73" s="4" t="s">
        <v>48</v>
      </c>
      <c r="D73" s="4" t="s">
        <v>49</v>
      </c>
      <c r="E73" s="39" t="s">
        <v>9</v>
      </c>
      <c r="F73" s="39" t="s">
        <v>10</v>
      </c>
      <c r="G73" s="4" t="s">
        <v>11</v>
      </c>
      <c r="H73" s="4" t="s">
        <v>17</v>
      </c>
      <c r="I73" s="4" t="s">
        <v>12</v>
      </c>
      <c r="J73" s="4" t="s">
        <v>18</v>
      </c>
    </row>
    <row r="74" spans="1:10" ht="20.100000000000001" customHeight="1" x14ac:dyDescent="0.25">
      <c r="A74" s="124"/>
      <c r="B74" s="20" t="s">
        <v>1516</v>
      </c>
      <c r="C74" s="21" t="s">
        <v>52</v>
      </c>
      <c r="D74" s="21" t="s">
        <v>54</v>
      </c>
      <c r="E74" s="58" t="s">
        <v>31</v>
      </c>
      <c r="F74" s="58" t="s">
        <v>13</v>
      </c>
      <c r="G74" s="58" t="s">
        <v>120</v>
      </c>
      <c r="H74" s="9">
        <f>CEILING(1210*USD,10)</f>
        <v>78220</v>
      </c>
      <c r="I74" s="8">
        <v>0.2</v>
      </c>
      <c r="J74" s="9">
        <f>CEILING(H74*0.8,10)</f>
        <v>62580</v>
      </c>
    </row>
    <row r="75" spans="1:10" ht="20.100000000000001" customHeight="1" x14ac:dyDescent="0.25">
      <c r="A75" s="124"/>
      <c r="B75" s="20" t="s">
        <v>1517</v>
      </c>
      <c r="C75" s="21" t="s">
        <v>52</v>
      </c>
      <c r="D75" s="21" t="s">
        <v>54</v>
      </c>
      <c r="E75" s="58" t="s">
        <v>31</v>
      </c>
      <c r="F75" s="21" t="s">
        <v>172</v>
      </c>
      <c r="G75" s="58" t="s">
        <v>120</v>
      </c>
      <c r="H75" s="9">
        <f>CEILING(1485*USD,10)</f>
        <v>96000</v>
      </c>
      <c r="I75" s="8">
        <v>0.2</v>
      </c>
      <c r="J75" s="9">
        <f t="shared" ref="J75:J95" si="6">CEILING(H75*0.8,10)</f>
        <v>76800</v>
      </c>
    </row>
    <row r="76" spans="1:10" ht="20.100000000000001" customHeight="1" x14ac:dyDescent="0.25">
      <c r="A76" s="124"/>
      <c r="B76" s="20" t="s">
        <v>1518</v>
      </c>
      <c r="C76" s="21" t="s">
        <v>58</v>
      </c>
      <c r="D76" s="21" t="s">
        <v>54</v>
      </c>
      <c r="E76" s="58" t="s">
        <v>31</v>
      </c>
      <c r="F76" s="58" t="s">
        <v>13</v>
      </c>
      <c r="G76" s="58" t="s">
        <v>120</v>
      </c>
      <c r="H76" s="9">
        <f>CEILING(1295*USD,10)</f>
        <v>83710</v>
      </c>
      <c r="I76" s="8">
        <v>0.2</v>
      </c>
      <c r="J76" s="9">
        <f t="shared" si="6"/>
        <v>66970</v>
      </c>
    </row>
    <row r="77" spans="1:10" ht="20.100000000000001" customHeight="1" x14ac:dyDescent="0.25">
      <c r="A77" s="124"/>
      <c r="B77" s="20" t="s">
        <v>1519</v>
      </c>
      <c r="C77" s="21" t="s">
        <v>58</v>
      </c>
      <c r="D77" s="21" t="s">
        <v>54</v>
      </c>
      <c r="E77" s="58" t="s">
        <v>31</v>
      </c>
      <c r="F77" s="21" t="s">
        <v>172</v>
      </c>
      <c r="G77" s="58" t="s">
        <v>120</v>
      </c>
      <c r="H77" s="9">
        <f>CEILING(1570*USD,10)</f>
        <v>101490</v>
      </c>
      <c r="I77" s="8">
        <v>0.2</v>
      </c>
      <c r="J77" s="9">
        <f t="shared" si="6"/>
        <v>81200</v>
      </c>
    </row>
    <row r="78" spans="1:10" ht="20.100000000000001" customHeight="1" x14ac:dyDescent="0.25">
      <c r="A78" s="124"/>
      <c r="B78" s="20" t="s">
        <v>1520</v>
      </c>
      <c r="C78" s="21" t="s">
        <v>59</v>
      </c>
      <c r="D78" s="21" t="s">
        <v>54</v>
      </c>
      <c r="E78" s="58" t="s">
        <v>31</v>
      </c>
      <c r="F78" s="58" t="s">
        <v>13</v>
      </c>
      <c r="G78" s="58" t="s">
        <v>120</v>
      </c>
      <c r="H78" s="9">
        <f>CEILING(1424*USD,10)</f>
        <v>92050</v>
      </c>
      <c r="I78" s="8">
        <v>0.2</v>
      </c>
      <c r="J78" s="9">
        <f t="shared" si="6"/>
        <v>73640</v>
      </c>
    </row>
    <row r="79" spans="1:10" ht="20.100000000000001" customHeight="1" x14ac:dyDescent="0.25">
      <c r="A79" s="124"/>
      <c r="B79" s="20" t="s">
        <v>1521</v>
      </c>
      <c r="C79" s="21" t="s">
        <v>59</v>
      </c>
      <c r="D79" s="21" t="s">
        <v>54</v>
      </c>
      <c r="E79" s="58" t="s">
        <v>31</v>
      </c>
      <c r="F79" s="21" t="s">
        <v>172</v>
      </c>
      <c r="G79" s="58" t="s">
        <v>120</v>
      </c>
      <c r="H79" s="9">
        <f>CEILING(1700*USD,10)</f>
        <v>109890</v>
      </c>
      <c r="I79" s="8">
        <v>0.2</v>
      </c>
      <c r="J79" s="9">
        <f t="shared" si="6"/>
        <v>87920</v>
      </c>
    </row>
    <row r="80" spans="1:10" ht="20.100000000000001" customHeight="1" x14ac:dyDescent="0.25">
      <c r="A80" s="124"/>
      <c r="B80" s="20" t="s">
        <v>1522</v>
      </c>
      <c r="C80" s="21" t="s">
        <v>103</v>
      </c>
      <c r="D80" s="21" t="s">
        <v>54</v>
      </c>
      <c r="E80" s="58" t="s">
        <v>14</v>
      </c>
      <c r="F80" s="21" t="s">
        <v>13</v>
      </c>
      <c r="G80" s="58" t="s">
        <v>120</v>
      </c>
      <c r="H80" s="9">
        <f>CEILING(1630*USD,10)</f>
        <v>105370</v>
      </c>
      <c r="I80" s="8">
        <v>0.2</v>
      </c>
      <c r="J80" s="9">
        <f t="shared" si="6"/>
        <v>84300</v>
      </c>
    </row>
    <row r="81" spans="1:10" ht="20.100000000000001" customHeight="1" x14ac:dyDescent="0.25">
      <c r="A81" s="124"/>
      <c r="B81" s="20" t="s">
        <v>1523</v>
      </c>
      <c r="C81" s="21" t="s">
        <v>103</v>
      </c>
      <c r="D81" s="21" t="s">
        <v>54</v>
      </c>
      <c r="E81" s="58" t="s">
        <v>14</v>
      </c>
      <c r="F81" s="21" t="s">
        <v>172</v>
      </c>
      <c r="G81" s="58" t="s">
        <v>120</v>
      </c>
      <c r="H81" s="9">
        <f>CEILING(1895*USD,10)</f>
        <v>122500</v>
      </c>
      <c r="I81" s="8">
        <v>0.2</v>
      </c>
      <c r="J81" s="9">
        <f t="shared" si="6"/>
        <v>98000</v>
      </c>
    </row>
    <row r="82" spans="1:10" ht="20.100000000000001" customHeight="1" x14ac:dyDescent="0.25">
      <c r="A82" s="124"/>
      <c r="B82" s="20" t="s">
        <v>1524</v>
      </c>
      <c r="C82" s="21" t="s">
        <v>63</v>
      </c>
      <c r="D82" s="21" t="s">
        <v>55</v>
      </c>
      <c r="E82" s="58" t="s">
        <v>31</v>
      </c>
      <c r="F82" s="21" t="s">
        <v>13</v>
      </c>
      <c r="G82" s="58" t="s">
        <v>121</v>
      </c>
      <c r="H82" s="9">
        <f>CEILING(1150*USD,10)</f>
        <v>74340</v>
      </c>
      <c r="I82" s="8">
        <v>0.2</v>
      </c>
      <c r="J82" s="9">
        <f t="shared" si="6"/>
        <v>59480</v>
      </c>
    </row>
    <row r="83" spans="1:10" ht="20.100000000000001" customHeight="1" x14ac:dyDescent="0.25">
      <c r="A83" s="124"/>
      <c r="B83" s="20" t="s">
        <v>1525</v>
      </c>
      <c r="C83" s="21" t="s">
        <v>63</v>
      </c>
      <c r="D83" s="21" t="s">
        <v>55</v>
      </c>
      <c r="E83" s="58" t="s">
        <v>31</v>
      </c>
      <c r="F83" s="21" t="s">
        <v>172</v>
      </c>
      <c r="G83" s="58" t="s">
        <v>121</v>
      </c>
      <c r="H83" s="9">
        <f>CEILING(1430*USD,10)</f>
        <v>92440</v>
      </c>
      <c r="I83" s="8">
        <v>0.2</v>
      </c>
      <c r="J83" s="9">
        <f t="shared" si="6"/>
        <v>73960</v>
      </c>
    </row>
    <row r="84" spans="1:10" ht="20.100000000000001" customHeight="1" x14ac:dyDescent="0.25">
      <c r="A84" s="124"/>
      <c r="B84" s="20" t="s">
        <v>1526</v>
      </c>
      <c r="C84" s="21" t="s">
        <v>64</v>
      </c>
      <c r="D84" s="21" t="s">
        <v>55</v>
      </c>
      <c r="E84" s="58" t="s">
        <v>31</v>
      </c>
      <c r="F84" s="21" t="s">
        <v>13</v>
      </c>
      <c r="G84" s="58" t="s">
        <v>121</v>
      </c>
      <c r="H84" s="9">
        <f>CEILING(1210*USD,10)</f>
        <v>78220</v>
      </c>
      <c r="I84" s="8">
        <v>0.2</v>
      </c>
      <c r="J84" s="9">
        <f t="shared" si="6"/>
        <v>62580</v>
      </c>
    </row>
    <row r="85" spans="1:10" ht="20.100000000000001" customHeight="1" x14ac:dyDescent="0.25">
      <c r="A85" s="124"/>
      <c r="B85" s="20" t="s">
        <v>1527</v>
      </c>
      <c r="C85" s="21" t="s">
        <v>64</v>
      </c>
      <c r="D85" s="21" t="s">
        <v>55</v>
      </c>
      <c r="E85" s="58" t="s">
        <v>31</v>
      </c>
      <c r="F85" s="21" t="s">
        <v>172</v>
      </c>
      <c r="G85" s="58" t="s">
        <v>121</v>
      </c>
      <c r="H85" s="9">
        <f>CEILING(1485*USD,10)</f>
        <v>96000</v>
      </c>
      <c r="I85" s="8">
        <v>0.2</v>
      </c>
      <c r="J85" s="9">
        <f t="shared" si="6"/>
        <v>76800</v>
      </c>
    </row>
    <row r="86" spans="1:10" ht="20.100000000000001" customHeight="1" x14ac:dyDescent="0.25">
      <c r="A86" s="124"/>
      <c r="B86" s="20" t="s">
        <v>1528</v>
      </c>
      <c r="C86" s="21" t="s">
        <v>105</v>
      </c>
      <c r="D86" s="21" t="s">
        <v>55</v>
      </c>
      <c r="E86" s="58" t="s">
        <v>31</v>
      </c>
      <c r="F86" s="21" t="s">
        <v>13</v>
      </c>
      <c r="G86" s="58" t="s">
        <v>121</v>
      </c>
      <c r="H86" s="9">
        <f>CEILING(1295*USD,10)</f>
        <v>83710</v>
      </c>
      <c r="I86" s="8">
        <v>0.2</v>
      </c>
      <c r="J86" s="9">
        <f t="shared" si="6"/>
        <v>66970</v>
      </c>
    </row>
    <row r="87" spans="1:10" ht="20.100000000000001" customHeight="1" x14ac:dyDescent="0.25">
      <c r="A87" s="124"/>
      <c r="B87" s="20" t="s">
        <v>1529</v>
      </c>
      <c r="C87" s="21" t="s">
        <v>105</v>
      </c>
      <c r="D87" s="21" t="s">
        <v>55</v>
      </c>
      <c r="E87" s="58" t="s">
        <v>31</v>
      </c>
      <c r="F87" s="21" t="s">
        <v>172</v>
      </c>
      <c r="G87" s="58" t="s">
        <v>121</v>
      </c>
      <c r="H87" s="9">
        <f>CEILING(1570*USD,10)</f>
        <v>101490</v>
      </c>
      <c r="I87" s="8">
        <v>0.2</v>
      </c>
      <c r="J87" s="9">
        <f t="shared" si="6"/>
        <v>81200</v>
      </c>
    </row>
    <row r="88" spans="1:10" ht="20.100000000000001" customHeight="1" x14ac:dyDescent="0.25">
      <c r="A88" s="124"/>
      <c r="B88" s="20" t="s">
        <v>1530</v>
      </c>
      <c r="C88" s="21" t="s">
        <v>106</v>
      </c>
      <c r="D88" s="21" t="s">
        <v>55</v>
      </c>
      <c r="E88" s="58" t="s">
        <v>31</v>
      </c>
      <c r="F88" s="21" t="s">
        <v>13</v>
      </c>
      <c r="G88" s="58" t="s">
        <v>121</v>
      </c>
      <c r="H88" s="9">
        <f>CEILING(1430*USD,10)</f>
        <v>92440</v>
      </c>
      <c r="I88" s="8">
        <v>0.2</v>
      </c>
      <c r="J88" s="9">
        <f t="shared" si="6"/>
        <v>73960</v>
      </c>
    </row>
    <row r="89" spans="1:10" ht="20.100000000000001" customHeight="1" x14ac:dyDescent="0.25">
      <c r="A89" s="124"/>
      <c r="B89" s="20" t="s">
        <v>1531</v>
      </c>
      <c r="C89" s="21" t="s">
        <v>106</v>
      </c>
      <c r="D89" s="21" t="s">
        <v>55</v>
      </c>
      <c r="E89" s="58" t="s">
        <v>31</v>
      </c>
      <c r="F89" s="21" t="s">
        <v>172</v>
      </c>
      <c r="G89" s="58" t="s">
        <v>121</v>
      </c>
      <c r="H89" s="9">
        <f>CEILING(1700*USD,10)</f>
        <v>109890</v>
      </c>
      <c r="I89" s="8">
        <v>0.2</v>
      </c>
      <c r="J89" s="9">
        <f t="shared" si="6"/>
        <v>87920</v>
      </c>
    </row>
    <row r="90" spans="1:10" ht="20.100000000000001" customHeight="1" x14ac:dyDescent="0.25">
      <c r="A90" s="124"/>
      <c r="B90" s="20" t="s">
        <v>1532</v>
      </c>
      <c r="C90" s="21" t="s">
        <v>107</v>
      </c>
      <c r="D90" s="21" t="s">
        <v>55</v>
      </c>
      <c r="E90" s="58" t="s">
        <v>14</v>
      </c>
      <c r="F90" s="21" t="s">
        <v>13</v>
      </c>
      <c r="G90" s="58" t="s">
        <v>121</v>
      </c>
      <c r="H90" s="9">
        <f>CEILING(1750*USD,10)</f>
        <v>113120</v>
      </c>
      <c r="I90" s="8">
        <v>0.2</v>
      </c>
      <c r="J90" s="9">
        <f t="shared" si="6"/>
        <v>90500</v>
      </c>
    </row>
    <row r="91" spans="1:10" ht="20.100000000000001" customHeight="1" x14ac:dyDescent="0.25">
      <c r="A91" s="124"/>
      <c r="B91" s="20" t="s">
        <v>1533</v>
      </c>
      <c r="C91" s="21" t="s">
        <v>108</v>
      </c>
      <c r="D91" s="21" t="s">
        <v>56</v>
      </c>
      <c r="E91" s="58" t="s">
        <v>31</v>
      </c>
      <c r="F91" s="21" t="s">
        <v>13</v>
      </c>
      <c r="G91" s="58" t="s">
        <v>121</v>
      </c>
      <c r="H91" s="9">
        <f>CEILING(1570*USD,10)</f>
        <v>101490</v>
      </c>
      <c r="I91" s="8">
        <v>0.2</v>
      </c>
      <c r="J91" s="9">
        <f t="shared" si="6"/>
        <v>81200</v>
      </c>
    </row>
    <row r="92" spans="1:10" ht="20.100000000000001" customHeight="1" x14ac:dyDescent="0.25">
      <c r="A92" s="124"/>
      <c r="B92" s="20" t="s">
        <v>1534</v>
      </c>
      <c r="C92" s="21" t="s">
        <v>109</v>
      </c>
      <c r="D92" s="21" t="s">
        <v>56</v>
      </c>
      <c r="E92" s="58" t="s">
        <v>31</v>
      </c>
      <c r="F92" s="21" t="s">
        <v>13</v>
      </c>
      <c r="G92" s="58" t="s">
        <v>121</v>
      </c>
      <c r="H92" s="9">
        <f>CEILING(1650*USD,10)</f>
        <v>106660</v>
      </c>
      <c r="I92" s="8">
        <v>0.2</v>
      </c>
      <c r="J92" s="9">
        <f t="shared" si="6"/>
        <v>85330</v>
      </c>
    </row>
    <row r="93" spans="1:10" ht="20.100000000000001" customHeight="1" x14ac:dyDescent="0.25">
      <c r="A93" s="124"/>
      <c r="B93" s="20" t="s">
        <v>1535</v>
      </c>
      <c r="C93" s="21" t="s">
        <v>68</v>
      </c>
      <c r="D93" s="21" t="s">
        <v>56</v>
      </c>
      <c r="E93" s="58" t="s">
        <v>31</v>
      </c>
      <c r="F93" s="21" t="s">
        <v>13</v>
      </c>
      <c r="G93" s="58" t="s">
        <v>121</v>
      </c>
      <c r="H93" s="9">
        <f>CEILING(1730*USD,10)</f>
        <v>111830</v>
      </c>
      <c r="I93" s="8">
        <v>0.2</v>
      </c>
      <c r="J93" s="9">
        <f t="shared" si="6"/>
        <v>89470</v>
      </c>
    </row>
    <row r="94" spans="1:10" ht="20.100000000000001" customHeight="1" x14ac:dyDescent="0.25">
      <c r="A94" s="124"/>
      <c r="B94" s="20" t="s">
        <v>1536</v>
      </c>
      <c r="C94" s="21" t="s">
        <v>119</v>
      </c>
      <c r="D94" s="21" t="s">
        <v>56</v>
      </c>
      <c r="E94" s="58" t="s">
        <v>31</v>
      </c>
      <c r="F94" s="21" t="s">
        <v>13</v>
      </c>
      <c r="G94" s="58" t="s">
        <v>122</v>
      </c>
      <c r="H94" s="9">
        <f>CEILING(2685*USD,10)</f>
        <v>173560</v>
      </c>
      <c r="I94" s="8">
        <v>0.2</v>
      </c>
      <c r="J94" s="9">
        <f t="shared" si="6"/>
        <v>138850</v>
      </c>
    </row>
    <row r="95" spans="1:10" ht="20.100000000000001" customHeight="1" x14ac:dyDescent="0.25">
      <c r="A95" s="124"/>
      <c r="B95" s="20" t="s">
        <v>1537</v>
      </c>
      <c r="C95" s="21" t="s">
        <v>71</v>
      </c>
      <c r="D95" s="21" t="s">
        <v>56</v>
      </c>
      <c r="E95" s="58" t="s">
        <v>31</v>
      </c>
      <c r="F95" s="21" t="s">
        <v>13</v>
      </c>
      <c r="G95" s="58" t="s">
        <v>122</v>
      </c>
      <c r="H95" s="9">
        <f>CEILING(2940*USD,10)</f>
        <v>190050</v>
      </c>
      <c r="I95" s="8">
        <v>0.2</v>
      </c>
      <c r="J95" s="9">
        <f t="shared" si="6"/>
        <v>152040</v>
      </c>
    </row>
    <row r="96" spans="1:10" ht="20.100000000000001" customHeight="1" x14ac:dyDescent="0.25">
      <c r="A96" s="139" t="s">
        <v>74</v>
      </c>
      <c r="B96" s="139"/>
      <c r="C96" s="139"/>
      <c r="D96" s="139"/>
      <c r="E96" s="139"/>
      <c r="F96" s="139"/>
      <c r="G96" s="139"/>
      <c r="H96" s="139"/>
      <c r="I96" s="139"/>
      <c r="J96" s="139"/>
    </row>
    <row r="97" spans="1:10" ht="20.100000000000001" customHeight="1" x14ac:dyDescent="0.25">
      <c r="A97" s="135" t="s">
        <v>1610</v>
      </c>
      <c r="B97" s="136"/>
      <c r="C97" s="136"/>
      <c r="D97" s="136"/>
      <c r="E97" s="136"/>
      <c r="F97" s="136"/>
      <c r="G97" s="137"/>
      <c r="H97" s="9">
        <v>14790</v>
      </c>
      <c r="I97" s="8">
        <v>0</v>
      </c>
      <c r="J97" s="9">
        <f>H97</f>
        <v>14790</v>
      </c>
    </row>
    <row r="98" spans="1:10" ht="20.100000000000001" customHeight="1" x14ac:dyDescent="0.25">
      <c r="A98" s="135" t="s">
        <v>1291</v>
      </c>
      <c r="B98" s="136"/>
      <c r="C98" s="136"/>
      <c r="D98" s="136"/>
      <c r="E98" s="136"/>
      <c r="F98" s="136"/>
      <c r="G98" s="137"/>
      <c r="H98" s="9">
        <v>1224</v>
      </c>
      <c r="I98" s="8">
        <v>0</v>
      </c>
      <c r="J98" s="9">
        <f t="shared" ref="J98:J108" si="7">H98</f>
        <v>1224</v>
      </c>
    </row>
    <row r="99" spans="1:10" ht="20.100000000000001" customHeight="1" x14ac:dyDescent="0.25">
      <c r="A99" s="135" t="s">
        <v>1053</v>
      </c>
      <c r="B99" s="136"/>
      <c r="C99" s="136"/>
      <c r="D99" s="136"/>
      <c r="E99" s="136"/>
      <c r="F99" s="136"/>
      <c r="G99" s="137"/>
      <c r="H99" s="9">
        <v>1630</v>
      </c>
      <c r="I99" s="8">
        <v>0</v>
      </c>
      <c r="J99" s="9">
        <f t="shared" si="7"/>
        <v>1630</v>
      </c>
    </row>
    <row r="100" spans="1:10" ht="20.100000000000001" customHeight="1" x14ac:dyDescent="0.25">
      <c r="A100" s="135" t="s">
        <v>1538</v>
      </c>
      <c r="B100" s="136"/>
      <c r="C100" s="136"/>
      <c r="D100" s="136"/>
      <c r="E100" s="136"/>
      <c r="F100" s="136"/>
      <c r="G100" s="137"/>
      <c r="H100" s="9">
        <f>CEILING(640*USD,10)</f>
        <v>41370</v>
      </c>
      <c r="I100" s="8">
        <v>0</v>
      </c>
      <c r="J100" s="9">
        <f t="shared" si="7"/>
        <v>41370</v>
      </c>
    </row>
    <row r="101" spans="1:10" ht="20.100000000000001" customHeight="1" x14ac:dyDescent="0.25">
      <c r="A101" s="135" t="s">
        <v>1539</v>
      </c>
      <c r="B101" s="136"/>
      <c r="C101" s="136"/>
      <c r="D101" s="136"/>
      <c r="E101" s="136"/>
      <c r="F101" s="136"/>
      <c r="G101" s="137"/>
      <c r="H101" s="9">
        <f>CEILING(31*USD,10)</f>
        <v>2010</v>
      </c>
      <c r="I101" s="8">
        <v>0</v>
      </c>
      <c r="J101" s="9">
        <f t="shared" si="7"/>
        <v>2010</v>
      </c>
    </row>
    <row r="102" spans="1:10" ht="20.100000000000001" customHeight="1" x14ac:dyDescent="0.25">
      <c r="A102" s="135" t="s">
        <v>1540</v>
      </c>
      <c r="B102" s="136"/>
      <c r="C102" s="136"/>
      <c r="D102" s="136"/>
      <c r="E102" s="136"/>
      <c r="F102" s="136"/>
      <c r="G102" s="137"/>
      <c r="H102" s="9">
        <f>CEILING(335*USD,10)</f>
        <v>21660</v>
      </c>
      <c r="I102" s="8">
        <v>0</v>
      </c>
      <c r="J102" s="9">
        <f t="shared" si="7"/>
        <v>21660</v>
      </c>
    </row>
    <row r="103" spans="1:10" ht="20.100000000000001" customHeight="1" x14ac:dyDescent="0.25">
      <c r="A103" s="135" t="s">
        <v>123</v>
      </c>
      <c r="B103" s="136"/>
      <c r="C103" s="136"/>
      <c r="D103" s="136"/>
      <c r="E103" s="136"/>
      <c r="F103" s="136"/>
      <c r="G103" s="137"/>
      <c r="H103" s="9">
        <f>CEILING(640*USD,10)</f>
        <v>41370</v>
      </c>
      <c r="I103" s="8">
        <v>0</v>
      </c>
      <c r="J103" s="9">
        <f t="shared" si="7"/>
        <v>41370</v>
      </c>
    </row>
    <row r="104" spans="1:10" ht="20.100000000000001" customHeight="1" x14ac:dyDescent="0.25">
      <c r="A104" s="135" t="s">
        <v>124</v>
      </c>
      <c r="B104" s="136"/>
      <c r="C104" s="136"/>
      <c r="D104" s="136"/>
      <c r="E104" s="136"/>
      <c r="F104" s="136"/>
      <c r="G104" s="137"/>
      <c r="H104" s="9">
        <f>CEILING(460*USD,10)</f>
        <v>29740</v>
      </c>
      <c r="I104" s="8">
        <v>0</v>
      </c>
      <c r="J104" s="9">
        <f t="shared" si="7"/>
        <v>29740</v>
      </c>
    </row>
    <row r="105" spans="1:10" ht="20.100000000000001" customHeight="1" x14ac:dyDescent="0.25">
      <c r="A105" s="135" t="s">
        <v>125</v>
      </c>
      <c r="B105" s="136"/>
      <c r="C105" s="136"/>
      <c r="D105" s="136"/>
      <c r="E105" s="136"/>
      <c r="F105" s="136"/>
      <c r="G105" s="137"/>
      <c r="H105" s="9">
        <f>CEILING(365*USD,10)</f>
        <v>23600</v>
      </c>
      <c r="I105" s="8">
        <v>0</v>
      </c>
      <c r="J105" s="9">
        <f t="shared" si="7"/>
        <v>23600</v>
      </c>
    </row>
    <row r="106" spans="1:10" ht="20.100000000000001" customHeight="1" x14ac:dyDescent="0.25">
      <c r="A106" s="135" t="s">
        <v>1292</v>
      </c>
      <c r="B106" s="136"/>
      <c r="C106" s="136"/>
      <c r="D106" s="136"/>
      <c r="E106" s="136"/>
      <c r="F106" s="136"/>
      <c r="G106" s="137"/>
      <c r="H106" s="9">
        <f>CEILING(670*USD,10)</f>
        <v>43310</v>
      </c>
      <c r="I106" s="8">
        <v>0</v>
      </c>
      <c r="J106" s="9">
        <f t="shared" si="7"/>
        <v>43310</v>
      </c>
    </row>
    <row r="107" spans="1:10" ht="20.100000000000001" customHeight="1" x14ac:dyDescent="0.25">
      <c r="A107" s="135" t="s">
        <v>118</v>
      </c>
      <c r="B107" s="136"/>
      <c r="C107" s="136"/>
      <c r="D107" s="136"/>
      <c r="E107" s="136"/>
      <c r="F107" s="136"/>
      <c r="G107" s="137"/>
      <c r="H107" s="9">
        <f>CEILING(367*USD,10)</f>
        <v>23730</v>
      </c>
      <c r="I107" s="8">
        <v>0</v>
      </c>
      <c r="J107" s="9">
        <f t="shared" si="7"/>
        <v>23730</v>
      </c>
    </row>
    <row r="108" spans="1:10" ht="20.100000000000001" customHeight="1" x14ac:dyDescent="0.25">
      <c r="A108" s="135" t="s">
        <v>81</v>
      </c>
      <c r="B108" s="136"/>
      <c r="C108" s="136"/>
      <c r="D108" s="136"/>
      <c r="E108" s="136"/>
      <c r="F108" s="136"/>
      <c r="G108" s="137"/>
      <c r="H108" s="9">
        <f>CEILING(455*USD,10)</f>
        <v>29420</v>
      </c>
      <c r="I108" s="8">
        <v>0</v>
      </c>
      <c r="J108" s="9">
        <f t="shared" si="7"/>
        <v>29420</v>
      </c>
    </row>
    <row r="109" spans="1:10" ht="20.100000000000001" customHeight="1" x14ac:dyDescent="0.25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</row>
    <row r="110" spans="1:10" ht="39.950000000000003" customHeight="1" x14ac:dyDescent="0.25">
      <c r="A110" s="117" t="s">
        <v>1693</v>
      </c>
      <c r="B110" s="118"/>
      <c r="C110" s="118"/>
      <c r="D110" s="118"/>
      <c r="E110" s="118"/>
      <c r="F110" s="118"/>
      <c r="G110" s="118"/>
      <c r="H110" s="118"/>
      <c r="I110" s="118"/>
      <c r="J110" s="118"/>
    </row>
    <row r="111" spans="1:10" ht="30" customHeight="1" x14ac:dyDescent="0.25">
      <c r="A111" s="61"/>
      <c r="B111" s="39" t="s">
        <v>2</v>
      </c>
      <c r="C111" s="4" t="s">
        <v>48</v>
      </c>
      <c r="D111" s="4" t="s">
        <v>49</v>
      </c>
      <c r="E111" s="39" t="s">
        <v>9</v>
      </c>
      <c r="F111" s="39" t="s">
        <v>10</v>
      </c>
      <c r="G111" s="4" t="s">
        <v>11</v>
      </c>
      <c r="H111" s="4" t="s">
        <v>17</v>
      </c>
      <c r="I111" s="4" t="s">
        <v>12</v>
      </c>
      <c r="J111" s="4" t="s">
        <v>18</v>
      </c>
    </row>
    <row r="112" spans="1:10" ht="20.100000000000001" customHeight="1" x14ac:dyDescent="0.25">
      <c r="A112" s="124"/>
      <c r="B112" s="6" t="s">
        <v>1613</v>
      </c>
      <c r="C112" s="21" t="s">
        <v>52</v>
      </c>
      <c r="D112" s="21" t="s">
        <v>54</v>
      </c>
      <c r="E112" s="61" t="s">
        <v>1016</v>
      </c>
      <c r="F112" s="21" t="s">
        <v>172</v>
      </c>
      <c r="G112" s="61" t="s">
        <v>110</v>
      </c>
      <c r="H112" s="9">
        <f>CEILING(1305*USD,10)</f>
        <v>84360</v>
      </c>
      <c r="I112" s="8">
        <v>0.2</v>
      </c>
      <c r="J112" s="9">
        <f>CEILING(H112*0.8,10)</f>
        <v>67490</v>
      </c>
    </row>
    <row r="113" spans="1:10" ht="20.100000000000001" customHeight="1" x14ac:dyDescent="0.25">
      <c r="A113" s="124"/>
      <c r="B113" s="6" t="s">
        <v>1614</v>
      </c>
      <c r="C113" s="21" t="s">
        <v>52</v>
      </c>
      <c r="D113" s="21" t="s">
        <v>54</v>
      </c>
      <c r="E113" s="64" t="s">
        <v>1016</v>
      </c>
      <c r="F113" s="61" t="s">
        <v>13</v>
      </c>
      <c r="G113" s="61" t="s">
        <v>110</v>
      </c>
      <c r="H113" s="9">
        <f>CEILING(1220*USD,10)</f>
        <v>78870</v>
      </c>
      <c r="I113" s="8">
        <v>0.2</v>
      </c>
      <c r="J113" s="9">
        <f t="shared" ref="J113:J129" si="8">CEILING(H113*0.8,10)</f>
        <v>63100</v>
      </c>
    </row>
    <row r="114" spans="1:10" ht="20.100000000000001" customHeight="1" x14ac:dyDescent="0.25">
      <c r="A114" s="124"/>
      <c r="B114" s="6" t="s">
        <v>1615</v>
      </c>
      <c r="C114" s="21" t="s">
        <v>58</v>
      </c>
      <c r="D114" s="21" t="s">
        <v>54</v>
      </c>
      <c r="E114" s="64" t="s">
        <v>1016</v>
      </c>
      <c r="F114" s="21" t="s">
        <v>172</v>
      </c>
      <c r="G114" s="61" t="s">
        <v>110</v>
      </c>
      <c r="H114" s="9">
        <f>CEILING(1425*USD,10)</f>
        <v>92120</v>
      </c>
      <c r="I114" s="8">
        <v>0.2</v>
      </c>
      <c r="J114" s="9">
        <f t="shared" si="8"/>
        <v>73700</v>
      </c>
    </row>
    <row r="115" spans="1:10" ht="20.100000000000001" customHeight="1" x14ac:dyDescent="0.25">
      <c r="A115" s="124"/>
      <c r="B115" s="6" t="s">
        <v>1616</v>
      </c>
      <c r="C115" s="21" t="s">
        <v>58</v>
      </c>
      <c r="D115" s="21" t="s">
        <v>54</v>
      </c>
      <c r="E115" s="64" t="s">
        <v>1016</v>
      </c>
      <c r="F115" s="61" t="s">
        <v>13</v>
      </c>
      <c r="G115" s="61" t="s">
        <v>110</v>
      </c>
      <c r="H115" s="9">
        <f>CEILING(1305*USD,10)</f>
        <v>84360</v>
      </c>
      <c r="I115" s="8">
        <v>0.2</v>
      </c>
      <c r="J115" s="9">
        <f t="shared" si="8"/>
        <v>67490</v>
      </c>
    </row>
    <row r="116" spans="1:10" ht="20.100000000000001" customHeight="1" x14ac:dyDescent="0.25">
      <c r="A116" s="124"/>
      <c r="B116" s="6" t="s">
        <v>1617</v>
      </c>
      <c r="C116" s="21" t="s">
        <v>103</v>
      </c>
      <c r="D116" s="21" t="s">
        <v>54</v>
      </c>
      <c r="E116" s="64" t="s">
        <v>1016</v>
      </c>
      <c r="F116" s="21" t="s">
        <v>172</v>
      </c>
      <c r="G116" s="61" t="s">
        <v>110</v>
      </c>
      <c r="H116" s="9">
        <f>CEILING(1630*USD,10)</f>
        <v>105370</v>
      </c>
      <c r="I116" s="8">
        <v>0.2</v>
      </c>
      <c r="J116" s="9">
        <f t="shared" si="8"/>
        <v>84300</v>
      </c>
    </row>
    <row r="117" spans="1:10" ht="20.100000000000001" customHeight="1" x14ac:dyDescent="0.25">
      <c r="A117" s="124"/>
      <c r="B117" s="6" t="s">
        <v>1618</v>
      </c>
      <c r="C117" s="21" t="s">
        <v>103</v>
      </c>
      <c r="D117" s="21" t="s">
        <v>54</v>
      </c>
      <c r="E117" s="64" t="s">
        <v>1016</v>
      </c>
      <c r="F117" s="61" t="s">
        <v>13</v>
      </c>
      <c r="G117" s="61" t="s">
        <v>110</v>
      </c>
      <c r="H117" s="9">
        <f>CEILING(1510*USD,10)</f>
        <v>97610</v>
      </c>
      <c r="I117" s="8">
        <v>0.2</v>
      </c>
      <c r="J117" s="9">
        <f t="shared" si="8"/>
        <v>78090</v>
      </c>
    </row>
    <row r="118" spans="1:10" ht="20.100000000000001" customHeight="1" x14ac:dyDescent="0.25">
      <c r="A118" s="124"/>
      <c r="B118" s="6" t="s">
        <v>1619</v>
      </c>
      <c r="C118" s="21" t="s">
        <v>186</v>
      </c>
      <c r="D118" s="21" t="s">
        <v>55</v>
      </c>
      <c r="E118" s="64" t="s">
        <v>1016</v>
      </c>
      <c r="F118" s="21" t="s">
        <v>172</v>
      </c>
      <c r="G118" s="61" t="s">
        <v>1631</v>
      </c>
      <c r="H118" s="9">
        <f>CEILING(1400*USD,10)</f>
        <v>90500</v>
      </c>
      <c r="I118" s="8">
        <v>0.2</v>
      </c>
      <c r="J118" s="9">
        <f t="shared" si="8"/>
        <v>72400</v>
      </c>
    </row>
    <row r="119" spans="1:10" ht="20.100000000000001" customHeight="1" x14ac:dyDescent="0.25">
      <c r="A119" s="124"/>
      <c r="B119" s="6" t="s">
        <v>1620</v>
      </c>
      <c r="C119" s="21" t="s">
        <v>186</v>
      </c>
      <c r="D119" s="21" t="s">
        <v>55</v>
      </c>
      <c r="E119" s="64" t="s">
        <v>1016</v>
      </c>
      <c r="F119" s="61" t="s">
        <v>13</v>
      </c>
      <c r="G119" s="61" t="s">
        <v>1631</v>
      </c>
      <c r="H119" s="9">
        <f>CEILING(1220*USD,10)</f>
        <v>78870</v>
      </c>
      <c r="I119" s="8">
        <v>0.2</v>
      </c>
      <c r="J119" s="9">
        <f t="shared" si="8"/>
        <v>63100</v>
      </c>
    </row>
    <row r="120" spans="1:10" ht="20.100000000000001" customHeight="1" x14ac:dyDescent="0.25">
      <c r="A120" s="124"/>
      <c r="B120" s="6" t="s">
        <v>1621</v>
      </c>
      <c r="C120" s="21" t="s">
        <v>64</v>
      </c>
      <c r="D120" s="21" t="s">
        <v>55</v>
      </c>
      <c r="E120" s="64" t="s">
        <v>1016</v>
      </c>
      <c r="F120" s="21" t="s">
        <v>172</v>
      </c>
      <c r="G120" s="61" t="s">
        <v>1631</v>
      </c>
      <c r="H120" s="9">
        <f>CEILING(1400*USD,10)</f>
        <v>90500</v>
      </c>
      <c r="I120" s="8">
        <v>0.2</v>
      </c>
      <c r="J120" s="9">
        <f t="shared" si="8"/>
        <v>72400</v>
      </c>
    </row>
    <row r="121" spans="1:10" ht="20.100000000000001" customHeight="1" x14ac:dyDescent="0.25">
      <c r="A121" s="124"/>
      <c r="B121" s="6" t="s">
        <v>1622</v>
      </c>
      <c r="C121" s="21" t="s">
        <v>64</v>
      </c>
      <c r="D121" s="21" t="s">
        <v>55</v>
      </c>
      <c r="E121" s="64" t="s">
        <v>1016</v>
      </c>
      <c r="F121" s="61" t="s">
        <v>13</v>
      </c>
      <c r="G121" s="61" t="s">
        <v>1631</v>
      </c>
      <c r="H121" s="9">
        <f>CEILING(1220*USD,10)</f>
        <v>78870</v>
      </c>
      <c r="I121" s="8">
        <v>0.2</v>
      </c>
      <c r="J121" s="9">
        <f t="shared" si="8"/>
        <v>63100</v>
      </c>
    </row>
    <row r="122" spans="1:10" ht="20.100000000000001" customHeight="1" x14ac:dyDescent="0.25">
      <c r="A122" s="124"/>
      <c r="B122" s="6" t="s">
        <v>1623</v>
      </c>
      <c r="C122" s="21" t="s">
        <v>105</v>
      </c>
      <c r="D122" s="21" t="s">
        <v>55</v>
      </c>
      <c r="E122" s="64" t="s">
        <v>1016</v>
      </c>
      <c r="F122" s="21" t="s">
        <v>172</v>
      </c>
      <c r="G122" s="61" t="s">
        <v>1631</v>
      </c>
      <c r="H122" s="9">
        <f>CEILING(1590*USD,10)</f>
        <v>102780</v>
      </c>
      <c r="I122" s="8">
        <v>0.2</v>
      </c>
      <c r="J122" s="9">
        <f t="shared" si="8"/>
        <v>82230</v>
      </c>
    </row>
    <row r="123" spans="1:10" ht="20.100000000000001" customHeight="1" x14ac:dyDescent="0.25">
      <c r="A123" s="124"/>
      <c r="B123" s="6" t="s">
        <v>1624</v>
      </c>
      <c r="C123" s="21" t="s">
        <v>105</v>
      </c>
      <c r="D123" s="21" t="s">
        <v>55</v>
      </c>
      <c r="E123" s="64" t="s">
        <v>1016</v>
      </c>
      <c r="F123" s="61" t="s">
        <v>13</v>
      </c>
      <c r="G123" s="61" t="s">
        <v>1631</v>
      </c>
      <c r="H123" s="9">
        <f>CEILING(1260*USD,10)</f>
        <v>81450</v>
      </c>
      <c r="I123" s="8">
        <v>0.2</v>
      </c>
      <c r="J123" s="9">
        <f t="shared" si="8"/>
        <v>65160</v>
      </c>
    </row>
    <row r="124" spans="1:10" ht="20.100000000000001" customHeight="1" x14ac:dyDescent="0.25">
      <c r="A124" s="124"/>
      <c r="B124" s="6" t="s">
        <v>1625</v>
      </c>
      <c r="C124" s="21" t="s">
        <v>107</v>
      </c>
      <c r="D124" s="21" t="s">
        <v>55</v>
      </c>
      <c r="E124" s="64" t="s">
        <v>1016</v>
      </c>
      <c r="F124" s="21" t="s">
        <v>172</v>
      </c>
      <c r="G124" s="61" t="s">
        <v>1631</v>
      </c>
      <c r="H124" s="9">
        <f>CEILING(1610*USD,10)</f>
        <v>104080</v>
      </c>
      <c r="I124" s="8">
        <v>0.2</v>
      </c>
      <c r="J124" s="9">
        <f t="shared" si="8"/>
        <v>83270</v>
      </c>
    </row>
    <row r="125" spans="1:10" ht="20.100000000000001" customHeight="1" x14ac:dyDescent="0.25">
      <c r="A125" s="124"/>
      <c r="B125" s="6" t="s">
        <v>1626</v>
      </c>
      <c r="C125" s="21" t="s">
        <v>107</v>
      </c>
      <c r="D125" s="21" t="s">
        <v>55</v>
      </c>
      <c r="E125" s="64" t="s">
        <v>1016</v>
      </c>
      <c r="F125" s="61" t="s">
        <v>13</v>
      </c>
      <c r="G125" s="61" t="s">
        <v>1631</v>
      </c>
      <c r="H125" s="9">
        <f>CEILING(1530*USD,10)</f>
        <v>98900</v>
      </c>
      <c r="I125" s="8">
        <v>0.2</v>
      </c>
      <c r="J125" s="9">
        <f t="shared" si="8"/>
        <v>79120</v>
      </c>
    </row>
    <row r="126" spans="1:10" ht="20.100000000000001" customHeight="1" x14ac:dyDescent="0.25">
      <c r="A126" s="124"/>
      <c r="B126" s="6" t="s">
        <v>1627</v>
      </c>
      <c r="C126" s="21" t="s">
        <v>108</v>
      </c>
      <c r="D126" s="21" t="s">
        <v>56</v>
      </c>
      <c r="E126" s="64" t="s">
        <v>1016</v>
      </c>
      <c r="F126" s="21" t="s">
        <v>172</v>
      </c>
      <c r="G126" s="61" t="s">
        <v>1631</v>
      </c>
      <c r="H126" s="9">
        <f>CEILING(1400*USD,10)</f>
        <v>90500</v>
      </c>
      <c r="I126" s="8">
        <v>0.2</v>
      </c>
      <c r="J126" s="9">
        <f t="shared" si="8"/>
        <v>72400</v>
      </c>
    </row>
    <row r="127" spans="1:10" ht="20.100000000000001" customHeight="1" x14ac:dyDescent="0.25">
      <c r="A127" s="124"/>
      <c r="B127" s="6" t="s">
        <v>1628</v>
      </c>
      <c r="C127" s="21" t="s">
        <v>108</v>
      </c>
      <c r="D127" s="21" t="s">
        <v>56</v>
      </c>
      <c r="E127" s="64" t="s">
        <v>1016</v>
      </c>
      <c r="F127" s="61" t="s">
        <v>13</v>
      </c>
      <c r="G127" s="61" t="s">
        <v>1631</v>
      </c>
      <c r="H127" s="9">
        <f>CEILING(1150*USD,10)</f>
        <v>74340</v>
      </c>
      <c r="I127" s="8">
        <v>0.2</v>
      </c>
      <c r="J127" s="9">
        <f t="shared" si="8"/>
        <v>59480</v>
      </c>
    </row>
    <row r="128" spans="1:10" ht="20.100000000000001" customHeight="1" x14ac:dyDescent="0.25">
      <c r="A128" s="124"/>
      <c r="B128" s="6" t="s">
        <v>1629</v>
      </c>
      <c r="C128" s="21" t="s">
        <v>68</v>
      </c>
      <c r="D128" s="21" t="s">
        <v>56</v>
      </c>
      <c r="E128" s="64" t="s">
        <v>1016</v>
      </c>
      <c r="F128" s="21" t="s">
        <v>172</v>
      </c>
      <c r="G128" s="61" t="s">
        <v>1631</v>
      </c>
      <c r="H128" s="9">
        <f>CEILING(1935*USD,10)</f>
        <v>125080</v>
      </c>
      <c r="I128" s="8">
        <v>0.2</v>
      </c>
      <c r="J128" s="9">
        <f t="shared" si="8"/>
        <v>100070</v>
      </c>
    </row>
    <row r="129" spans="1:10" ht="20.100000000000001" customHeight="1" x14ac:dyDescent="0.25">
      <c r="A129" s="124"/>
      <c r="B129" s="6" t="s">
        <v>1630</v>
      </c>
      <c r="C129" s="21" t="s">
        <v>68</v>
      </c>
      <c r="D129" s="21" t="s">
        <v>56</v>
      </c>
      <c r="E129" s="64" t="s">
        <v>1016</v>
      </c>
      <c r="F129" s="61" t="s">
        <v>13</v>
      </c>
      <c r="G129" s="61" t="s">
        <v>1631</v>
      </c>
      <c r="H129" s="9">
        <f>CEILING(1835*USD,10)</f>
        <v>118620</v>
      </c>
      <c r="I129" s="8">
        <v>0.2</v>
      </c>
      <c r="J129" s="9">
        <f t="shared" si="8"/>
        <v>94900</v>
      </c>
    </row>
    <row r="130" spans="1:10" ht="20.100000000000001" customHeight="1" x14ac:dyDescent="0.25">
      <c r="A130" s="139" t="s">
        <v>74</v>
      </c>
      <c r="B130" s="139"/>
      <c r="C130" s="139"/>
      <c r="D130" s="139"/>
      <c r="E130" s="139"/>
      <c r="F130" s="139"/>
      <c r="G130" s="139"/>
      <c r="H130" s="139"/>
      <c r="I130" s="139"/>
      <c r="J130" s="139"/>
    </row>
    <row r="131" spans="1:10" ht="20.100000000000001" customHeight="1" x14ac:dyDescent="0.25">
      <c r="A131" s="135" t="s">
        <v>1291</v>
      </c>
      <c r="B131" s="136"/>
      <c r="C131" s="136"/>
      <c r="D131" s="136"/>
      <c r="E131" s="136"/>
      <c r="F131" s="136"/>
      <c r="G131" s="137"/>
      <c r="H131" s="9">
        <v>1224</v>
      </c>
      <c r="I131" s="8">
        <v>0</v>
      </c>
      <c r="J131" s="9">
        <f>H131</f>
        <v>1224</v>
      </c>
    </row>
    <row r="132" spans="1:10" ht="20.100000000000001" customHeight="1" x14ac:dyDescent="0.25">
      <c r="A132" s="135" t="s">
        <v>1292</v>
      </c>
      <c r="B132" s="136"/>
      <c r="C132" s="136"/>
      <c r="D132" s="136"/>
      <c r="E132" s="136"/>
      <c r="F132" s="136"/>
      <c r="G132" s="137"/>
      <c r="H132" s="9">
        <f>CEILING(670*USD,10)</f>
        <v>43310</v>
      </c>
      <c r="I132" s="8">
        <v>0</v>
      </c>
      <c r="J132" s="9">
        <f t="shared" ref="J132:J139" si="9">H132</f>
        <v>43310</v>
      </c>
    </row>
    <row r="133" spans="1:10" ht="20.100000000000001" customHeight="1" x14ac:dyDescent="0.25">
      <c r="A133" s="135" t="s">
        <v>81</v>
      </c>
      <c r="B133" s="136"/>
      <c r="C133" s="136"/>
      <c r="D133" s="136"/>
      <c r="E133" s="136"/>
      <c r="F133" s="136"/>
      <c r="G133" s="137"/>
      <c r="H133" s="9">
        <f>CEILING(455*USD,10)</f>
        <v>29420</v>
      </c>
      <c r="I133" s="8">
        <v>0</v>
      </c>
      <c r="J133" s="9">
        <f t="shared" si="9"/>
        <v>29420</v>
      </c>
    </row>
    <row r="134" spans="1:10" ht="20.100000000000001" customHeight="1" x14ac:dyDescent="0.25">
      <c r="A134" s="135" t="s">
        <v>1632</v>
      </c>
      <c r="B134" s="136"/>
      <c r="C134" s="136"/>
      <c r="D134" s="136"/>
      <c r="E134" s="136"/>
      <c r="F134" s="136"/>
      <c r="G134" s="137"/>
      <c r="H134" s="9">
        <f>CEILING(830*USD,10)</f>
        <v>53660</v>
      </c>
      <c r="I134" s="8">
        <v>0</v>
      </c>
      <c r="J134" s="9">
        <f t="shared" si="9"/>
        <v>53660</v>
      </c>
    </row>
    <row r="135" spans="1:10" ht="20.100000000000001" customHeight="1" x14ac:dyDescent="0.25">
      <c r="A135" s="135" t="s">
        <v>1633</v>
      </c>
      <c r="B135" s="136"/>
      <c r="C135" s="136"/>
      <c r="D135" s="136"/>
      <c r="E135" s="136"/>
      <c r="F135" s="136"/>
      <c r="G135" s="137"/>
      <c r="H135" s="9">
        <f>CEILING(800*USD,10)</f>
        <v>51720</v>
      </c>
      <c r="I135" s="8">
        <v>0</v>
      </c>
      <c r="J135" s="9">
        <f t="shared" si="9"/>
        <v>51720</v>
      </c>
    </row>
    <row r="136" spans="1:10" ht="20.100000000000001" customHeight="1" x14ac:dyDescent="0.25">
      <c r="A136" s="135" t="s">
        <v>1634</v>
      </c>
      <c r="B136" s="136"/>
      <c r="C136" s="136"/>
      <c r="D136" s="136"/>
      <c r="E136" s="136"/>
      <c r="F136" s="136"/>
      <c r="G136" s="137"/>
      <c r="H136" s="9">
        <f>CEILING(245*USD,10)</f>
        <v>15840</v>
      </c>
      <c r="I136" s="8">
        <v>0</v>
      </c>
      <c r="J136" s="9">
        <f t="shared" si="9"/>
        <v>15840</v>
      </c>
    </row>
    <row r="137" spans="1:10" ht="20.100000000000001" customHeight="1" x14ac:dyDescent="0.25">
      <c r="A137" s="135" t="s">
        <v>1635</v>
      </c>
      <c r="B137" s="136"/>
      <c r="C137" s="136"/>
      <c r="D137" s="136"/>
      <c r="E137" s="136"/>
      <c r="F137" s="136"/>
      <c r="G137" s="137"/>
      <c r="H137" s="9">
        <f>CEILING(310*USD,10)</f>
        <v>20040</v>
      </c>
      <c r="I137" s="8">
        <v>0</v>
      </c>
      <c r="J137" s="9">
        <f t="shared" si="9"/>
        <v>20040</v>
      </c>
    </row>
    <row r="138" spans="1:10" ht="20.100000000000001" customHeight="1" x14ac:dyDescent="0.25">
      <c r="A138" s="135" t="s">
        <v>1636</v>
      </c>
      <c r="B138" s="136"/>
      <c r="C138" s="136"/>
      <c r="D138" s="136"/>
      <c r="E138" s="136"/>
      <c r="F138" s="136"/>
      <c r="G138" s="137"/>
      <c r="H138" s="9">
        <f>CEILING(31*USD,10)</f>
        <v>2010</v>
      </c>
      <c r="I138" s="8">
        <v>0</v>
      </c>
      <c r="J138" s="9">
        <f t="shared" si="9"/>
        <v>2010</v>
      </c>
    </row>
    <row r="139" spans="1:10" ht="20.100000000000001" customHeight="1" x14ac:dyDescent="0.25">
      <c r="A139" s="135" t="s">
        <v>1637</v>
      </c>
      <c r="B139" s="136"/>
      <c r="C139" s="136"/>
      <c r="D139" s="136"/>
      <c r="E139" s="136"/>
      <c r="F139" s="136"/>
      <c r="G139" s="137"/>
      <c r="H139" s="9">
        <f>CEILING(31*USD,10)</f>
        <v>2010</v>
      </c>
      <c r="I139" s="8">
        <v>0</v>
      </c>
      <c r="J139" s="9">
        <f t="shared" si="9"/>
        <v>2010</v>
      </c>
    </row>
    <row r="140" spans="1:10" ht="20.100000000000001" customHeight="1" x14ac:dyDescent="0.25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</row>
    <row r="141" spans="1:10" ht="39.950000000000003" customHeight="1" x14ac:dyDescent="0.25">
      <c r="A141" s="129" t="s">
        <v>1541</v>
      </c>
      <c r="B141" s="130"/>
      <c r="C141" s="130"/>
      <c r="D141" s="130"/>
      <c r="E141" s="130"/>
      <c r="F141" s="130"/>
      <c r="G141" s="130"/>
      <c r="H141" s="130"/>
      <c r="I141" s="130"/>
      <c r="J141" s="130"/>
    </row>
    <row r="142" spans="1:10" ht="30" customHeight="1" x14ac:dyDescent="0.25">
      <c r="A142" s="5"/>
      <c r="B142" s="3" t="s">
        <v>2</v>
      </c>
      <c r="C142" s="4" t="s">
        <v>48</v>
      </c>
      <c r="D142" s="4" t="s">
        <v>49</v>
      </c>
      <c r="E142" s="3" t="s">
        <v>9</v>
      </c>
      <c r="F142" s="3" t="s">
        <v>10</v>
      </c>
      <c r="G142" s="4" t="s">
        <v>11</v>
      </c>
      <c r="H142" s="4" t="s">
        <v>17</v>
      </c>
      <c r="I142" s="4" t="s">
        <v>12</v>
      </c>
      <c r="J142" s="4" t="s">
        <v>18</v>
      </c>
    </row>
    <row r="143" spans="1:10" ht="20.100000000000001" customHeight="1" x14ac:dyDescent="0.25">
      <c r="A143" s="124"/>
      <c r="B143" s="20" t="s">
        <v>84</v>
      </c>
      <c r="C143" s="5" t="s">
        <v>52</v>
      </c>
      <c r="D143" s="5" t="s">
        <v>54</v>
      </c>
      <c r="E143" s="5" t="s">
        <v>31</v>
      </c>
      <c r="F143" s="5" t="s">
        <v>13</v>
      </c>
      <c r="G143" s="5" t="s">
        <v>110</v>
      </c>
      <c r="H143" s="9">
        <f>CEILING(1120*USD,10)</f>
        <v>72400</v>
      </c>
      <c r="I143" s="8">
        <v>0.2</v>
      </c>
      <c r="J143" s="9">
        <f>CEILING(H143*0.8,10)</f>
        <v>57920</v>
      </c>
    </row>
    <row r="144" spans="1:10" ht="20.100000000000001" customHeight="1" x14ac:dyDescent="0.25">
      <c r="A144" s="124"/>
      <c r="B144" s="20" t="s">
        <v>85</v>
      </c>
      <c r="C144" s="5" t="s">
        <v>52</v>
      </c>
      <c r="D144" s="5" t="s">
        <v>54</v>
      </c>
      <c r="E144" s="5" t="s">
        <v>31</v>
      </c>
      <c r="F144" s="5" t="s">
        <v>15</v>
      </c>
      <c r="G144" s="5" t="s">
        <v>110</v>
      </c>
      <c r="H144" s="9">
        <f>CEILING(1195*USD,10)</f>
        <v>77250</v>
      </c>
      <c r="I144" s="8">
        <v>0.2</v>
      </c>
      <c r="J144" s="9">
        <f t="shared" ref="J144:J161" si="10">CEILING(H144*0.8,10)</f>
        <v>61800</v>
      </c>
    </row>
    <row r="145" spans="1:10" ht="20.100000000000001" customHeight="1" x14ac:dyDescent="0.25">
      <c r="A145" s="124"/>
      <c r="B145" s="20" t="s">
        <v>86</v>
      </c>
      <c r="C145" s="5" t="s">
        <v>58</v>
      </c>
      <c r="D145" s="5" t="s">
        <v>54</v>
      </c>
      <c r="E145" s="5" t="s">
        <v>31</v>
      </c>
      <c r="F145" s="5" t="s">
        <v>13</v>
      </c>
      <c r="G145" s="5" t="s">
        <v>110</v>
      </c>
      <c r="H145" s="9">
        <f>CEILING(1200*USD,10)</f>
        <v>77570</v>
      </c>
      <c r="I145" s="8">
        <v>0.2</v>
      </c>
      <c r="J145" s="9">
        <f t="shared" si="10"/>
        <v>62060</v>
      </c>
    </row>
    <row r="146" spans="1:10" ht="20.100000000000001" customHeight="1" x14ac:dyDescent="0.25">
      <c r="A146" s="124"/>
      <c r="B146" s="20" t="s">
        <v>87</v>
      </c>
      <c r="C146" s="5" t="s">
        <v>58</v>
      </c>
      <c r="D146" s="5" t="s">
        <v>54</v>
      </c>
      <c r="E146" s="5" t="s">
        <v>31</v>
      </c>
      <c r="F146" s="5" t="s">
        <v>15</v>
      </c>
      <c r="G146" s="5" t="s">
        <v>110</v>
      </c>
      <c r="H146" s="9">
        <f>CEILING(1305*USD,10)</f>
        <v>84360</v>
      </c>
      <c r="I146" s="8">
        <v>0.2</v>
      </c>
      <c r="J146" s="9">
        <f t="shared" si="10"/>
        <v>67490</v>
      </c>
    </row>
    <row r="147" spans="1:10" ht="20.100000000000001" customHeight="1" x14ac:dyDescent="0.25">
      <c r="A147" s="124"/>
      <c r="B147" s="20" t="s">
        <v>88</v>
      </c>
      <c r="C147" s="5" t="s">
        <v>59</v>
      </c>
      <c r="D147" s="5" t="s">
        <v>54</v>
      </c>
      <c r="E147" s="5" t="s">
        <v>31</v>
      </c>
      <c r="F147" s="5" t="s">
        <v>13</v>
      </c>
      <c r="G147" s="5" t="s">
        <v>110</v>
      </c>
      <c r="H147" s="9">
        <f>CEILING(1260*USD,10)</f>
        <v>81450</v>
      </c>
      <c r="I147" s="8">
        <v>0.2</v>
      </c>
      <c r="J147" s="9">
        <f t="shared" si="10"/>
        <v>65160</v>
      </c>
    </row>
    <row r="148" spans="1:10" ht="20.100000000000001" customHeight="1" x14ac:dyDescent="0.25">
      <c r="A148" s="124"/>
      <c r="B148" s="20" t="s">
        <v>89</v>
      </c>
      <c r="C148" s="5" t="s">
        <v>59</v>
      </c>
      <c r="D148" s="5" t="s">
        <v>54</v>
      </c>
      <c r="E148" s="5" t="s">
        <v>31</v>
      </c>
      <c r="F148" s="5" t="s">
        <v>15</v>
      </c>
      <c r="G148" s="5" t="s">
        <v>110</v>
      </c>
      <c r="H148" s="9">
        <f>CEILING(1400*USD,10)</f>
        <v>90500</v>
      </c>
      <c r="I148" s="8">
        <v>0.2</v>
      </c>
      <c r="J148" s="9">
        <f t="shared" si="10"/>
        <v>72400</v>
      </c>
    </row>
    <row r="149" spans="1:10" ht="20.100000000000001" customHeight="1" x14ac:dyDescent="0.25">
      <c r="A149" s="124"/>
      <c r="B149" s="20" t="s">
        <v>90</v>
      </c>
      <c r="C149" s="5" t="s">
        <v>103</v>
      </c>
      <c r="D149" s="5" t="s">
        <v>54</v>
      </c>
      <c r="E149" s="5" t="s">
        <v>14</v>
      </c>
      <c r="F149" s="5" t="s">
        <v>13</v>
      </c>
      <c r="G149" s="5" t="s">
        <v>110</v>
      </c>
      <c r="H149" s="9">
        <f>CEILING(1385*USD,10)</f>
        <v>89530</v>
      </c>
      <c r="I149" s="8">
        <v>0.2</v>
      </c>
      <c r="J149" s="9">
        <f t="shared" si="10"/>
        <v>71630</v>
      </c>
    </row>
    <row r="150" spans="1:10" ht="20.100000000000001" customHeight="1" x14ac:dyDescent="0.25">
      <c r="A150" s="124"/>
      <c r="B150" s="20" t="s">
        <v>91</v>
      </c>
      <c r="C150" s="5" t="s">
        <v>103</v>
      </c>
      <c r="D150" s="5" t="s">
        <v>54</v>
      </c>
      <c r="E150" s="5" t="s">
        <v>14</v>
      </c>
      <c r="F150" s="5" t="s">
        <v>15</v>
      </c>
      <c r="G150" s="5" t="s">
        <v>110</v>
      </c>
      <c r="H150" s="9">
        <f>CEILING(1495*USD,10)</f>
        <v>96640</v>
      </c>
      <c r="I150" s="8">
        <v>0.2</v>
      </c>
      <c r="J150" s="9">
        <f t="shared" si="10"/>
        <v>77320</v>
      </c>
    </row>
    <row r="151" spans="1:10" ht="20.100000000000001" customHeight="1" x14ac:dyDescent="0.25">
      <c r="A151" s="124"/>
      <c r="B151" s="20" t="s">
        <v>92</v>
      </c>
      <c r="C151" s="5" t="s">
        <v>104</v>
      </c>
      <c r="D151" s="5" t="s">
        <v>55</v>
      </c>
      <c r="E151" s="5" t="s">
        <v>14</v>
      </c>
      <c r="F151" s="5" t="s">
        <v>13</v>
      </c>
      <c r="G151" s="5" t="s">
        <v>111</v>
      </c>
      <c r="H151" s="9">
        <f>CEILING(930*USD,10)</f>
        <v>60120</v>
      </c>
      <c r="I151" s="8">
        <v>0.2</v>
      </c>
      <c r="J151" s="9">
        <f t="shared" si="10"/>
        <v>48100</v>
      </c>
    </row>
    <row r="152" spans="1:10" ht="20.100000000000001" customHeight="1" x14ac:dyDescent="0.25">
      <c r="A152" s="124"/>
      <c r="B152" s="20" t="s">
        <v>93</v>
      </c>
      <c r="C152" s="5" t="s">
        <v>63</v>
      </c>
      <c r="D152" s="5" t="s">
        <v>55</v>
      </c>
      <c r="E152" s="5" t="s">
        <v>31</v>
      </c>
      <c r="F152" s="5" t="s">
        <v>13</v>
      </c>
      <c r="G152" s="5" t="s">
        <v>111</v>
      </c>
      <c r="H152" s="9">
        <f>CEILING(1100*USD,10)</f>
        <v>71110</v>
      </c>
      <c r="I152" s="8">
        <v>0.2</v>
      </c>
      <c r="J152" s="9">
        <f t="shared" si="10"/>
        <v>56890</v>
      </c>
    </row>
    <row r="153" spans="1:10" ht="20.100000000000001" customHeight="1" x14ac:dyDescent="0.25">
      <c r="A153" s="124"/>
      <c r="B153" s="20" t="s">
        <v>94</v>
      </c>
      <c r="C153" s="5" t="s">
        <v>64</v>
      </c>
      <c r="D153" s="5" t="s">
        <v>55</v>
      </c>
      <c r="E153" s="5" t="s">
        <v>31</v>
      </c>
      <c r="F153" s="5" t="s">
        <v>13</v>
      </c>
      <c r="G153" s="5" t="s">
        <v>112</v>
      </c>
      <c r="H153" s="9">
        <f>CEILING(1120*USD,10)</f>
        <v>72400</v>
      </c>
      <c r="I153" s="8">
        <v>0.2</v>
      </c>
      <c r="J153" s="9">
        <f t="shared" si="10"/>
        <v>57920</v>
      </c>
    </row>
    <row r="154" spans="1:10" ht="20.100000000000001" customHeight="1" x14ac:dyDescent="0.25">
      <c r="A154" s="124"/>
      <c r="B154" s="20" t="s">
        <v>95</v>
      </c>
      <c r="C154" s="5" t="s">
        <v>64</v>
      </c>
      <c r="D154" s="5" t="s">
        <v>55</v>
      </c>
      <c r="E154" s="5" t="s">
        <v>31</v>
      </c>
      <c r="F154" s="5" t="s">
        <v>15</v>
      </c>
      <c r="G154" s="5" t="s">
        <v>112</v>
      </c>
      <c r="H154" s="9">
        <f>CEILING(1280*USD,10)</f>
        <v>82740</v>
      </c>
      <c r="I154" s="8">
        <v>0.2</v>
      </c>
      <c r="J154" s="9">
        <f t="shared" si="10"/>
        <v>66200</v>
      </c>
    </row>
    <row r="155" spans="1:10" ht="20.100000000000001" customHeight="1" x14ac:dyDescent="0.25">
      <c r="A155" s="124"/>
      <c r="B155" s="20" t="s">
        <v>96</v>
      </c>
      <c r="C155" s="5" t="s">
        <v>105</v>
      </c>
      <c r="D155" s="5" t="s">
        <v>55</v>
      </c>
      <c r="E155" s="5" t="s">
        <v>31</v>
      </c>
      <c r="F155" s="5" t="s">
        <v>13</v>
      </c>
      <c r="G155" s="5" t="s">
        <v>112</v>
      </c>
      <c r="H155" s="9">
        <f>CEILING(1150*USD,10)</f>
        <v>74340</v>
      </c>
      <c r="I155" s="8">
        <v>0.2</v>
      </c>
      <c r="J155" s="9">
        <f t="shared" si="10"/>
        <v>59480</v>
      </c>
    </row>
    <row r="156" spans="1:10" ht="20.100000000000001" customHeight="1" x14ac:dyDescent="0.25">
      <c r="A156" s="124"/>
      <c r="B156" s="20" t="s">
        <v>97</v>
      </c>
      <c r="C156" s="5" t="s">
        <v>105</v>
      </c>
      <c r="D156" s="5" t="s">
        <v>55</v>
      </c>
      <c r="E156" s="5" t="s">
        <v>31</v>
      </c>
      <c r="F156" s="5" t="s">
        <v>15</v>
      </c>
      <c r="G156" s="5" t="s">
        <v>112</v>
      </c>
      <c r="H156" s="9">
        <f>CEILING(1450*USD,10)</f>
        <v>93730</v>
      </c>
      <c r="I156" s="8">
        <v>0.2</v>
      </c>
      <c r="J156" s="9">
        <f t="shared" si="10"/>
        <v>74990</v>
      </c>
    </row>
    <row r="157" spans="1:10" ht="20.100000000000001" customHeight="1" x14ac:dyDescent="0.25">
      <c r="A157" s="124"/>
      <c r="B157" s="20" t="s">
        <v>98</v>
      </c>
      <c r="C157" s="5" t="s">
        <v>106</v>
      </c>
      <c r="D157" s="5" t="s">
        <v>55</v>
      </c>
      <c r="E157" s="5" t="s">
        <v>31</v>
      </c>
      <c r="F157" s="5" t="s">
        <v>13</v>
      </c>
      <c r="G157" s="5" t="s">
        <v>112</v>
      </c>
      <c r="H157" s="9">
        <f>CEILING(1285*USD,10)</f>
        <v>83070</v>
      </c>
      <c r="I157" s="8">
        <v>0.2</v>
      </c>
      <c r="J157" s="9">
        <f t="shared" si="10"/>
        <v>66460</v>
      </c>
    </row>
    <row r="158" spans="1:10" ht="20.100000000000001" customHeight="1" x14ac:dyDescent="0.25">
      <c r="A158" s="124"/>
      <c r="B158" s="20" t="s">
        <v>99</v>
      </c>
      <c r="C158" s="5" t="s">
        <v>106</v>
      </c>
      <c r="D158" s="5" t="s">
        <v>55</v>
      </c>
      <c r="E158" s="5" t="s">
        <v>31</v>
      </c>
      <c r="F158" s="5" t="s">
        <v>15</v>
      </c>
      <c r="G158" s="5" t="s">
        <v>112</v>
      </c>
      <c r="H158" s="9">
        <f>CEILING(1470*USD,10)</f>
        <v>95030</v>
      </c>
      <c r="I158" s="8">
        <v>0.2</v>
      </c>
      <c r="J158" s="9">
        <f t="shared" si="10"/>
        <v>76030</v>
      </c>
    </row>
    <row r="159" spans="1:10" ht="20.100000000000001" customHeight="1" x14ac:dyDescent="0.25">
      <c r="A159" s="124"/>
      <c r="B159" s="20" t="s">
        <v>100</v>
      </c>
      <c r="C159" s="5" t="s">
        <v>107</v>
      </c>
      <c r="D159" s="5" t="s">
        <v>55</v>
      </c>
      <c r="E159" s="5" t="s">
        <v>14</v>
      </c>
      <c r="F159" s="5" t="s">
        <v>13</v>
      </c>
      <c r="G159" s="5" t="s">
        <v>112</v>
      </c>
      <c r="H159" s="9">
        <f>CEILING(1400*USD,10)</f>
        <v>90500</v>
      </c>
      <c r="I159" s="8">
        <v>0.2</v>
      </c>
      <c r="J159" s="9">
        <f t="shared" si="10"/>
        <v>72400</v>
      </c>
    </row>
    <row r="160" spans="1:10" ht="20.100000000000001" customHeight="1" x14ac:dyDescent="0.25">
      <c r="A160" s="124"/>
      <c r="B160" s="20" t="s">
        <v>101</v>
      </c>
      <c r="C160" s="5" t="s">
        <v>108</v>
      </c>
      <c r="D160" s="5" t="s">
        <v>56</v>
      </c>
      <c r="E160" s="5" t="s">
        <v>31</v>
      </c>
      <c r="F160" s="5" t="s">
        <v>13</v>
      </c>
      <c r="G160" s="5" t="s">
        <v>112</v>
      </c>
      <c r="H160" s="9">
        <f>CEILING(1050*USD,10)</f>
        <v>67880</v>
      </c>
      <c r="I160" s="8">
        <v>0.2</v>
      </c>
      <c r="J160" s="9">
        <f t="shared" si="10"/>
        <v>54310</v>
      </c>
    </row>
    <row r="161" spans="1:10" ht="20.100000000000001" customHeight="1" x14ac:dyDescent="0.25">
      <c r="A161" s="124"/>
      <c r="B161" s="22" t="s">
        <v>102</v>
      </c>
      <c r="C161" s="5" t="s">
        <v>109</v>
      </c>
      <c r="D161" s="5" t="s">
        <v>56</v>
      </c>
      <c r="E161" s="5" t="s">
        <v>31</v>
      </c>
      <c r="F161" s="5" t="s">
        <v>13</v>
      </c>
      <c r="G161" s="5" t="s">
        <v>112</v>
      </c>
      <c r="H161" s="9">
        <f>CEILING(1680*USD,10)</f>
        <v>108600</v>
      </c>
      <c r="I161" s="8">
        <v>0.2</v>
      </c>
      <c r="J161" s="9">
        <f t="shared" si="10"/>
        <v>86880</v>
      </c>
    </row>
    <row r="162" spans="1:10" ht="20.100000000000001" customHeight="1" x14ac:dyDescent="0.25">
      <c r="A162" s="139" t="s">
        <v>74</v>
      </c>
      <c r="B162" s="139"/>
      <c r="C162" s="139"/>
      <c r="D162" s="139"/>
      <c r="E162" s="139"/>
      <c r="F162" s="139"/>
      <c r="G162" s="139"/>
      <c r="H162" s="139"/>
      <c r="I162" s="139"/>
      <c r="J162" s="139"/>
    </row>
    <row r="163" spans="1:10" ht="20.100000000000001" customHeight="1" x14ac:dyDescent="0.25">
      <c r="A163" s="135" t="s">
        <v>1610</v>
      </c>
      <c r="B163" s="136"/>
      <c r="C163" s="136"/>
      <c r="D163" s="136"/>
      <c r="E163" s="136"/>
      <c r="F163" s="136"/>
      <c r="G163" s="137"/>
      <c r="H163" s="9">
        <v>14790</v>
      </c>
      <c r="I163" s="8">
        <v>0</v>
      </c>
      <c r="J163" s="9">
        <f>H163</f>
        <v>14790</v>
      </c>
    </row>
    <row r="164" spans="1:10" ht="20.100000000000001" customHeight="1" x14ac:dyDescent="0.25">
      <c r="A164" s="135" t="s">
        <v>1291</v>
      </c>
      <c r="B164" s="136"/>
      <c r="C164" s="136"/>
      <c r="D164" s="136"/>
      <c r="E164" s="136"/>
      <c r="F164" s="136"/>
      <c r="G164" s="137"/>
      <c r="H164" s="9">
        <v>1785</v>
      </c>
      <c r="I164" s="8">
        <v>0</v>
      </c>
      <c r="J164" s="9">
        <f t="shared" ref="J164:J174" si="11">H164</f>
        <v>1785</v>
      </c>
    </row>
    <row r="165" spans="1:10" ht="20.100000000000001" customHeight="1" x14ac:dyDescent="0.25">
      <c r="A165" s="135" t="s">
        <v>1053</v>
      </c>
      <c r="B165" s="136"/>
      <c r="C165" s="136"/>
      <c r="D165" s="136"/>
      <c r="E165" s="136"/>
      <c r="F165" s="136"/>
      <c r="G165" s="137"/>
      <c r="H165" s="9">
        <v>1630</v>
      </c>
      <c r="I165" s="8">
        <v>0</v>
      </c>
      <c r="J165" s="9">
        <f t="shared" si="11"/>
        <v>1630</v>
      </c>
    </row>
    <row r="166" spans="1:10" ht="20.100000000000001" customHeight="1" x14ac:dyDescent="0.25">
      <c r="A166" s="135" t="s">
        <v>113</v>
      </c>
      <c r="B166" s="136"/>
      <c r="C166" s="136"/>
      <c r="D166" s="136"/>
      <c r="E166" s="136"/>
      <c r="F166" s="136"/>
      <c r="G166" s="137"/>
      <c r="H166" s="9">
        <f>CEILING(695*USD,10)</f>
        <v>44930</v>
      </c>
      <c r="I166" s="8">
        <v>0</v>
      </c>
      <c r="J166" s="9">
        <f t="shared" si="11"/>
        <v>44930</v>
      </c>
    </row>
    <row r="167" spans="1:10" ht="20.100000000000001" customHeight="1" x14ac:dyDescent="0.25">
      <c r="A167" s="135" t="s">
        <v>114</v>
      </c>
      <c r="B167" s="136"/>
      <c r="C167" s="136"/>
      <c r="D167" s="136"/>
      <c r="E167" s="136"/>
      <c r="F167" s="136"/>
      <c r="G167" s="137"/>
      <c r="H167" s="9">
        <f>CEILING(31*USD,10)</f>
        <v>2010</v>
      </c>
      <c r="I167" s="8">
        <v>0</v>
      </c>
      <c r="J167" s="9">
        <f t="shared" si="11"/>
        <v>2010</v>
      </c>
    </row>
    <row r="168" spans="1:10" ht="20.100000000000001" customHeight="1" x14ac:dyDescent="0.25">
      <c r="A168" s="135" t="s">
        <v>115</v>
      </c>
      <c r="B168" s="136"/>
      <c r="C168" s="136"/>
      <c r="D168" s="136"/>
      <c r="E168" s="136"/>
      <c r="F168" s="136"/>
      <c r="G168" s="137"/>
      <c r="H168" s="9">
        <f>CEILING(31*USD,10)</f>
        <v>2010</v>
      </c>
      <c r="I168" s="8">
        <v>0</v>
      </c>
      <c r="J168" s="9">
        <f t="shared" si="11"/>
        <v>2010</v>
      </c>
    </row>
    <row r="169" spans="1:10" ht="20.100000000000001" customHeight="1" x14ac:dyDescent="0.25">
      <c r="A169" s="135" t="s">
        <v>116</v>
      </c>
      <c r="B169" s="136"/>
      <c r="C169" s="136"/>
      <c r="D169" s="136"/>
      <c r="E169" s="136"/>
      <c r="F169" s="136"/>
      <c r="G169" s="137"/>
      <c r="H169" s="9">
        <f>CEILING(122*USD,10)</f>
        <v>7890</v>
      </c>
      <c r="I169" s="8">
        <v>0</v>
      </c>
      <c r="J169" s="9">
        <f t="shared" si="11"/>
        <v>7890</v>
      </c>
    </row>
    <row r="170" spans="1:10" ht="20.100000000000001" customHeight="1" x14ac:dyDescent="0.25">
      <c r="A170" s="135" t="s">
        <v>117</v>
      </c>
      <c r="B170" s="136"/>
      <c r="C170" s="136"/>
      <c r="D170" s="136"/>
      <c r="E170" s="136"/>
      <c r="F170" s="136"/>
      <c r="G170" s="137"/>
      <c r="H170" s="9">
        <f>CEILING(122*USD,10)</f>
        <v>7890</v>
      </c>
      <c r="I170" s="8">
        <v>0</v>
      </c>
      <c r="J170" s="9">
        <f t="shared" si="11"/>
        <v>7890</v>
      </c>
    </row>
    <row r="171" spans="1:10" ht="20.100000000000001" customHeight="1" x14ac:dyDescent="0.25">
      <c r="A171" s="135" t="s">
        <v>1292</v>
      </c>
      <c r="B171" s="136"/>
      <c r="C171" s="136"/>
      <c r="D171" s="136"/>
      <c r="E171" s="136"/>
      <c r="F171" s="136"/>
      <c r="G171" s="137"/>
      <c r="H171" s="9">
        <f>CEILING(670*USD,10)</f>
        <v>43310</v>
      </c>
      <c r="I171" s="8">
        <v>0</v>
      </c>
      <c r="J171" s="9">
        <f t="shared" si="11"/>
        <v>43310</v>
      </c>
    </row>
    <row r="172" spans="1:10" ht="20.100000000000001" customHeight="1" x14ac:dyDescent="0.25">
      <c r="A172" s="135" t="s">
        <v>1921</v>
      </c>
      <c r="B172" s="136"/>
      <c r="C172" s="136"/>
      <c r="D172" s="136"/>
      <c r="E172" s="136"/>
      <c r="F172" s="136"/>
      <c r="G172" s="137"/>
      <c r="H172" s="9">
        <v>18900</v>
      </c>
      <c r="I172" s="8">
        <v>0</v>
      </c>
      <c r="J172" s="9">
        <f>H172</f>
        <v>18900</v>
      </c>
    </row>
    <row r="173" spans="1:10" ht="20.100000000000001" customHeight="1" x14ac:dyDescent="0.25">
      <c r="A173" s="135" t="s">
        <v>118</v>
      </c>
      <c r="B173" s="136"/>
      <c r="C173" s="136"/>
      <c r="D173" s="136"/>
      <c r="E173" s="136"/>
      <c r="F173" s="136"/>
      <c r="G173" s="137"/>
      <c r="H173" s="9">
        <f>CEILING(367*USD,10)</f>
        <v>23730</v>
      </c>
      <c r="I173" s="8">
        <v>0</v>
      </c>
      <c r="J173" s="9">
        <f t="shared" si="11"/>
        <v>23730</v>
      </c>
    </row>
    <row r="174" spans="1:10" ht="20.100000000000001" customHeight="1" x14ac:dyDescent="0.25">
      <c r="A174" s="135" t="s">
        <v>81</v>
      </c>
      <c r="B174" s="136"/>
      <c r="C174" s="136"/>
      <c r="D174" s="136"/>
      <c r="E174" s="136"/>
      <c r="F174" s="136"/>
      <c r="G174" s="137"/>
      <c r="H174" s="9">
        <f>CEILING(455*USD,10)</f>
        <v>29420</v>
      </c>
      <c r="I174" s="8">
        <v>0</v>
      </c>
      <c r="J174" s="9">
        <f t="shared" si="11"/>
        <v>29420</v>
      </c>
    </row>
    <row r="175" spans="1:10" ht="20.100000000000001" customHeight="1" x14ac:dyDescent="0.25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</row>
    <row r="176" spans="1:10" ht="39.950000000000003" customHeight="1" x14ac:dyDescent="0.25">
      <c r="A176" s="117" t="s">
        <v>1542</v>
      </c>
      <c r="B176" s="118"/>
      <c r="C176" s="118"/>
      <c r="D176" s="118"/>
      <c r="E176" s="118"/>
      <c r="F176" s="118"/>
      <c r="G176" s="118"/>
      <c r="H176" s="118"/>
      <c r="I176" s="118"/>
      <c r="J176" s="118"/>
    </row>
    <row r="177" spans="1:10" ht="30" customHeight="1" x14ac:dyDescent="0.25">
      <c r="A177" s="58"/>
      <c r="B177" s="39" t="s">
        <v>2</v>
      </c>
      <c r="C177" s="4" t="s">
        <v>48</v>
      </c>
      <c r="D177" s="4" t="s">
        <v>49</v>
      </c>
      <c r="E177" s="39" t="s">
        <v>9</v>
      </c>
      <c r="F177" s="39" t="s">
        <v>10</v>
      </c>
      <c r="G177" s="4" t="s">
        <v>11</v>
      </c>
      <c r="H177" s="4" t="s">
        <v>17</v>
      </c>
      <c r="I177" s="4" t="s">
        <v>12</v>
      </c>
      <c r="J177" s="4" t="s">
        <v>18</v>
      </c>
    </row>
    <row r="178" spans="1:10" ht="24.95" customHeight="1" x14ac:dyDescent="0.25">
      <c r="A178" s="124"/>
      <c r="B178" s="6" t="s">
        <v>1195</v>
      </c>
      <c r="C178" s="21" t="s">
        <v>58</v>
      </c>
      <c r="D178" s="21" t="s">
        <v>54</v>
      </c>
      <c r="E178" s="58" t="s">
        <v>31</v>
      </c>
      <c r="F178" s="58" t="s">
        <v>13</v>
      </c>
      <c r="G178" s="58" t="s">
        <v>135</v>
      </c>
      <c r="H178" s="9">
        <f>CEILING(658*USD,10)</f>
        <v>42540</v>
      </c>
      <c r="I178" s="8">
        <v>0.2</v>
      </c>
      <c r="J178" s="9">
        <f>CEILING(H178*0.8,10)</f>
        <v>34040</v>
      </c>
    </row>
    <row r="179" spans="1:10" ht="24.95" customHeight="1" x14ac:dyDescent="0.25">
      <c r="A179" s="124"/>
      <c r="B179" s="6" t="s">
        <v>1196</v>
      </c>
      <c r="C179" s="21" t="s">
        <v>58</v>
      </c>
      <c r="D179" s="21" t="s">
        <v>54</v>
      </c>
      <c r="E179" s="58" t="s">
        <v>31</v>
      </c>
      <c r="F179" s="58" t="s">
        <v>15</v>
      </c>
      <c r="G179" s="58" t="s">
        <v>135</v>
      </c>
      <c r="H179" s="9">
        <f>CEILING(785*USD,10)</f>
        <v>50750</v>
      </c>
      <c r="I179" s="8">
        <v>0.2</v>
      </c>
      <c r="J179" s="9">
        <f t="shared" ref="J179:J187" si="12">CEILING(H179*0.8,10)</f>
        <v>40600</v>
      </c>
    </row>
    <row r="180" spans="1:10" ht="24.95" customHeight="1" x14ac:dyDescent="0.25">
      <c r="A180" s="124"/>
      <c r="B180" s="6" t="s">
        <v>1197</v>
      </c>
      <c r="C180" s="21" t="s">
        <v>103</v>
      </c>
      <c r="D180" s="21" t="s">
        <v>54</v>
      </c>
      <c r="E180" s="58" t="s">
        <v>31</v>
      </c>
      <c r="F180" s="58" t="s">
        <v>13</v>
      </c>
      <c r="G180" s="58" t="s">
        <v>135</v>
      </c>
      <c r="H180" s="9">
        <f>CEILING(870*USD,10)</f>
        <v>56240</v>
      </c>
      <c r="I180" s="8">
        <v>0.2</v>
      </c>
      <c r="J180" s="9">
        <f t="shared" si="12"/>
        <v>45000</v>
      </c>
    </row>
    <row r="181" spans="1:10" ht="24.95" customHeight="1" x14ac:dyDescent="0.25">
      <c r="A181" s="124"/>
      <c r="B181" s="6" t="s">
        <v>1198</v>
      </c>
      <c r="C181" s="21" t="s">
        <v>103</v>
      </c>
      <c r="D181" s="21" t="s">
        <v>54</v>
      </c>
      <c r="E181" s="58" t="s">
        <v>31</v>
      </c>
      <c r="F181" s="58" t="s">
        <v>15</v>
      </c>
      <c r="G181" s="58" t="s">
        <v>135</v>
      </c>
      <c r="H181" s="9">
        <f>CEILING(950*USD,10)</f>
        <v>61410</v>
      </c>
      <c r="I181" s="8">
        <v>0.2</v>
      </c>
      <c r="J181" s="9">
        <f t="shared" si="12"/>
        <v>49130</v>
      </c>
    </row>
    <row r="182" spans="1:10" ht="24.95" customHeight="1" x14ac:dyDescent="0.25">
      <c r="A182" s="124"/>
      <c r="B182" s="6" t="s">
        <v>1199</v>
      </c>
      <c r="C182" s="21" t="s">
        <v>63</v>
      </c>
      <c r="D182" s="21" t="s">
        <v>55</v>
      </c>
      <c r="E182" s="58" t="s">
        <v>31</v>
      </c>
      <c r="F182" s="58" t="s">
        <v>13</v>
      </c>
      <c r="G182" s="58" t="s">
        <v>149</v>
      </c>
      <c r="H182" s="9">
        <f>CEILING(625*USD,10)</f>
        <v>40400</v>
      </c>
      <c r="I182" s="8">
        <v>0.2</v>
      </c>
      <c r="J182" s="9">
        <f t="shared" si="12"/>
        <v>32320</v>
      </c>
    </row>
    <row r="183" spans="1:10" ht="24.95" customHeight="1" x14ac:dyDescent="0.25">
      <c r="A183" s="124"/>
      <c r="B183" s="6" t="s">
        <v>1200</v>
      </c>
      <c r="C183" s="21" t="s">
        <v>63</v>
      </c>
      <c r="D183" s="21" t="s">
        <v>55</v>
      </c>
      <c r="E183" s="58" t="s">
        <v>31</v>
      </c>
      <c r="F183" s="58" t="s">
        <v>15</v>
      </c>
      <c r="G183" s="58" t="s">
        <v>149</v>
      </c>
      <c r="H183" s="9">
        <f>CEILING(672*USD,10)</f>
        <v>43440</v>
      </c>
      <c r="I183" s="8">
        <v>0.2</v>
      </c>
      <c r="J183" s="9">
        <f t="shared" si="12"/>
        <v>34760</v>
      </c>
    </row>
    <row r="184" spans="1:10" ht="24.95" customHeight="1" x14ac:dyDescent="0.25">
      <c r="A184" s="124"/>
      <c r="B184" s="6" t="s">
        <v>1201</v>
      </c>
      <c r="C184" s="21" t="s">
        <v>105</v>
      </c>
      <c r="D184" s="21" t="s">
        <v>55</v>
      </c>
      <c r="E184" s="58" t="s">
        <v>31</v>
      </c>
      <c r="F184" s="58" t="s">
        <v>13</v>
      </c>
      <c r="G184" s="58" t="s">
        <v>149</v>
      </c>
      <c r="H184" s="9">
        <f>CEILING(658*USD,10)</f>
        <v>42540</v>
      </c>
      <c r="I184" s="8">
        <v>0.2</v>
      </c>
      <c r="J184" s="9">
        <f t="shared" si="12"/>
        <v>34040</v>
      </c>
    </row>
    <row r="185" spans="1:10" ht="24.95" customHeight="1" x14ac:dyDescent="0.25">
      <c r="A185" s="124"/>
      <c r="B185" s="6" t="s">
        <v>1202</v>
      </c>
      <c r="C185" s="21" t="s">
        <v>105</v>
      </c>
      <c r="D185" s="21" t="s">
        <v>55</v>
      </c>
      <c r="E185" s="58" t="s">
        <v>31</v>
      </c>
      <c r="F185" s="58" t="s">
        <v>15</v>
      </c>
      <c r="G185" s="58" t="s">
        <v>149</v>
      </c>
      <c r="H185" s="9">
        <f>CEILING(785*USD,10)</f>
        <v>50750</v>
      </c>
      <c r="I185" s="8">
        <v>0.2</v>
      </c>
      <c r="J185" s="9">
        <f t="shared" si="12"/>
        <v>40600</v>
      </c>
    </row>
    <row r="186" spans="1:10" ht="24.95" customHeight="1" x14ac:dyDescent="0.25">
      <c r="A186" s="124"/>
      <c r="B186" s="6" t="s">
        <v>1203</v>
      </c>
      <c r="C186" s="21" t="s">
        <v>109</v>
      </c>
      <c r="D186" s="21" t="s">
        <v>56</v>
      </c>
      <c r="E186" s="58" t="s">
        <v>31</v>
      </c>
      <c r="F186" s="58" t="s">
        <v>13</v>
      </c>
      <c r="G186" s="58" t="s">
        <v>149</v>
      </c>
      <c r="H186" s="9">
        <f>CEILING(750*USD,10)</f>
        <v>48480</v>
      </c>
      <c r="I186" s="8">
        <v>0.2</v>
      </c>
      <c r="J186" s="9">
        <f t="shared" si="12"/>
        <v>38790</v>
      </c>
    </row>
    <row r="187" spans="1:10" ht="24.95" customHeight="1" x14ac:dyDescent="0.25">
      <c r="A187" s="124"/>
      <c r="B187" s="6" t="s">
        <v>1204</v>
      </c>
      <c r="C187" s="21" t="s">
        <v>109</v>
      </c>
      <c r="D187" s="21" t="s">
        <v>56</v>
      </c>
      <c r="E187" s="58" t="s">
        <v>31</v>
      </c>
      <c r="F187" s="58" t="s">
        <v>15</v>
      </c>
      <c r="G187" s="58" t="s">
        <v>149</v>
      </c>
      <c r="H187" s="9">
        <f>CEILING(895*USD,10)</f>
        <v>57860</v>
      </c>
      <c r="I187" s="8">
        <v>0.2</v>
      </c>
      <c r="J187" s="9">
        <f t="shared" si="12"/>
        <v>46290</v>
      </c>
    </row>
    <row r="188" spans="1:10" ht="20.100000000000001" customHeight="1" x14ac:dyDescent="0.25">
      <c r="A188" s="139" t="s">
        <v>74</v>
      </c>
      <c r="B188" s="139"/>
      <c r="C188" s="139"/>
      <c r="D188" s="139"/>
      <c r="E188" s="139"/>
      <c r="F188" s="139"/>
      <c r="G188" s="139"/>
      <c r="H188" s="139"/>
      <c r="I188" s="139"/>
      <c r="J188" s="139"/>
    </row>
    <row r="189" spans="1:10" ht="20.100000000000001" customHeight="1" x14ac:dyDescent="0.25">
      <c r="A189" s="135" t="s">
        <v>1610</v>
      </c>
      <c r="B189" s="136"/>
      <c r="C189" s="136"/>
      <c r="D189" s="136"/>
      <c r="E189" s="136"/>
      <c r="F189" s="136"/>
      <c r="G189" s="137"/>
      <c r="H189" s="9">
        <v>14790</v>
      </c>
      <c r="I189" s="8">
        <v>0</v>
      </c>
      <c r="J189" s="9">
        <f>H189</f>
        <v>14790</v>
      </c>
    </row>
    <row r="190" spans="1:10" ht="20.100000000000001" customHeight="1" x14ac:dyDescent="0.25">
      <c r="A190" s="135" t="s">
        <v>1291</v>
      </c>
      <c r="B190" s="136"/>
      <c r="C190" s="136"/>
      <c r="D190" s="136"/>
      <c r="E190" s="136"/>
      <c r="F190" s="136"/>
      <c r="G190" s="137"/>
      <c r="H190" s="9">
        <v>1220</v>
      </c>
      <c r="I190" s="8">
        <v>0</v>
      </c>
      <c r="J190" s="9">
        <f t="shared" ref="J190:J195" si="13">H190</f>
        <v>1220</v>
      </c>
    </row>
    <row r="191" spans="1:10" ht="20.100000000000001" customHeight="1" x14ac:dyDescent="0.25">
      <c r="A191" s="135" t="s">
        <v>1053</v>
      </c>
      <c r="B191" s="136"/>
      <c r="C191" s="136"/>
      <c r="D191" s="136"/>
      <c r="E191" s="136"/>
      <c r="F191" s="136"/>
      <c r="G191" s="137"/>
      <c r="H191" s="9">
        <v>1630</v>
      </c>
      <c r="I191" s="8">
        <v>0</v>
      </c>
      <c r="J191" s="9">
        <f t="shared" si="13"/>
        <v>1630</v>
      </c>
    </row>
    <row r="192" spans="1:10" ht="20.100000000000001" customHeight="1" x14ac:dyDescent="0.25">
      <c r="A192" s="135" t="s">
        <v>1293</v>
      </c>
      <c r="B192" s="136"/>
      <c r="C192" s="136"/>
      <c r="D192" s="136"/>
      <c r="E192" s="136"/>
      <c r="F192" s="136"/>
      <c r="G192" s="137"/>
      <c r="H192" s="9">
        <f>CEILING(92*USD,10)</f>
        <v>5950</v>
      </c>
      <c r="I192" s="8">
        <v>0</v>
      </c>
      <c r="J192" s="9">
        <f t="shared" si="13"/>
        <v>5950</v>
      </c>
    </row>
    <row r="193" spans="1:10" ht="20.100000000000001" customHeight="1" x14ac:dyDescent="0.25">
      <c r="A193" s="135" t="s">
        <v>1292</v>
      </c>
      <c r="B193" s="136"/>
      <c r="C193" s="136"/>
      <c r="D193" s="136"/>
      <c r="E193" s="136"/>
      <c r="F193" s="136"/>
      <c r="G193" s="137"/>
      <c r="H193" s="9">
        <f>CEILING(670*USD,10)</f>
        <v>43310</v>
      </c>
      <c r="I193" s="8">
        <v>0</v>
      </c>
      <c r="J193" s="9">
        <f t="shared" si="13"/>
        <v>43310</v>
      </c>
    </row>
    <row r="194" spans="1:10" ht="20.100000000000001" customHeight="1" x14ac:dyDescent="0.25">
      <c r="A194" s="135" t="s">
        <v>118</v>
      </c>
      <c r="B194" s="136"/>
      <c r="C194" s="136"/>
      <c r="D194" s="136"/>
      <c r="E194" s="136"/>
      <c r="F194" s="136"/>
      <c r="G194" s="137"/>
      <c r="H194" s="9">
        <f>CEILING(367*USD,10)</f>
        <v>23730</v>
      </c>
      <c r="I194" s="8">
        <v>0</v>
      </c>
      <c r="J194" s="9">
        <f t="shared" si="13"/>
        <v>23730</v>
      </c>
    </row>
    <row r="195" spans="1:10" ht="20.100000000000001" customHeight="1" x14ac:dyDescent="0.25">
      <c r="A195" s="135" t="s">
        <v>81</v>
      </c>
      <c r="B195" s="136"/>
      <c r="C195" s="136"/>
      <c r="D195" s="136"/>
      <c r="E195" s="136"/>
      <c r="F195" s="136"/>
      <c r="G195" s="137"/>
      <c r="H195" s="9">
        <f>CEILING(455*USD,10)</f>
        <v>29420</v>
      </c>
      <c r="I195" s="8">
        <v>0</v>
      </c>
      <c r="J195" s="9">
        <f t="shared" si="13"/>
        <v>29420</v>
      </c>
    </row>
    <row r="196" spans="1:10" ht="20.100000000000001" customHeight="1" x14ac:dyDescent="0.25">
      <c r="A196" s="131"/>
      <c r="B196" s="131"/>
      <c r="C196" s="131"/>
      <c r="D196" s="131"/>
      <c r="E196" s="131"/>
      <c r="F196" s="131"/>
      <c r="G196" s="131"/>
      <c r="H196" s="131"/>
      <c r="I196" s="131"/>
      <c r="J196" s="131"/>
    </row>
    <row r="197" spans="1:10" ht="39.950000000000003" customHeight="1" x14ac:dyDescent="0.25">
      <c r="A197" s="117" t="s">
        <v>1543</v>
      </c>
      <c r="B197" s="118"/>
      <c r="C197" s="118"/>
      <c r="D197" s="118"/>
      <c r="E197" s="118"/>
      <c r="F197" s="118"/>
      <c r="G197" s="118"/>
      <c r="H197" s="118"/>
      <c r="I197" s="118"/>
      <c r="J197" s="118"/>
    </row>
    <row r="198" spans="1:10" ht="30" customHeight="1" x14ac:dyDescent="0.25">
      <c r="A198" s="5"/>
      <c r="B198" s="3" t="s">
        <v>2</v>
      </c>
      <c r="C198" s="4" t="s">
        <v>48</v>
      </c>
      <c r="D198" s="4" t="s">
        <v>49</v>
      </c>
      <c r="E198" s="3" t="s">
        <v>9</v>
      </c>
      <c r="F198" s="3" t="s">
        <v>10</v>
      </c>
      <c r="G198" s="4" t="s">
        <v>11</v>
      </c>
      <c r="H198" s="4" t="s">
        <v>17</v>
      </c>
      <c r="I198" s="4" t="s">
        <v>12</v>
      </c>
      <c r="J198" s="4" t="s">
        <v>18</v>
      </c>
    </row>
    <row r="199" spans="1:10" ht="30" customHeight="1" x14ac:dyDescent="0.25">
      <c r="A199" s="124"/>
      <c r="B199" s="20" t="s">
        <v>126</v>
      </c>
      <c r="C199" s="21" t="s">
        <v>52</v>
      </c>
      <c r="D199" s="21" t="s">
        <v>55</v>
      </c>
      <c r="E199" s="5" t="s">
        <v>31</v>
      </c>
      <c r="F199" s="5" t="s">
        <v>13</v>
      </c>
      <c r="G199" s="5" t="s">
        <v>135</v>
      </c>
      <c r="H199" s="9">
        <f>CEILING(692*USD,10)</f>
        <v>44740</v>
      </c>
      <c r="I199" s="8">
        <v>0.2</v>
      </c>
      <c r="J199" s="9">
        <f>CEILING(H199*0.8,10)</f>
        <v>35800</v>
      </c>
    </row>
    <row r="200" spans="1:10" ht="30" customHeight="1" x14ac:dyDescent="0.25">
      <c r="A200" s="124"/>
      <c r="B200" s="20" t="s">
        <v>127</v>
      </c>
      <c r="C200" s="21" t="s">
        <v>59</v>
      </c>
      <c r="D200" s="21" t="s">
        <v>55</v>
      </c>
      <c r="E200" s="5" t="s">
        <v>31</v>
      </c>
      <c r="F200" s="5" t="s">
        <v>13</v>
      </c>
      <c r="G200" s="5" t="s">
        <v>135</v>
      </c>
      <c r="H200" s="9">
        <f>CEILING(722*USD,10)</f>
        <v>46680</v>
      </c>
      <c r="I200" s="8">
        <v>0.2</v>
      </c>
      <c r="J200" s="9">
        <f t="shared" ref="J200:J206" si="14">CEILING(H200*0.8,10)</f>
        <v>37350</v>
      </c>
    </row>
    <row r="201" spans="1:10" ht="30" customHeight="1" x14ac:dyDescent="0.25">
      <c r="A201" s="124"/>
      <c r="B201" s="20" t="s">
        <v>128</v>
      </c>
      <c r="C201" s="21" t="s">
        <v>103</v>
      </c>
      <c r="D201" s="21" t="s">
        <v>55</v>
      </c>
      <c r="E201" s="5" t="s">
        <v>31</v>
      </c>
      <c r="F201" s="5" t="s">
        <v>13</v>
      </c>
      <c r="G201" s="5" t="s">
        <v>135</v>
      </c>
      <c r="H201" s="9">
        <f>CEILING(755*USD,10)</f>
        <v>48810</v>
      </c>
      <c r="I201" s="8">
        <v>0.2</v>
      </c>
      <c r="J201" s="9">
        <f t="shared" si="14"/>
        <v>39050</v>
      </c>
    </row>
    <row r="202" spans="1:10" ht="30" customHeight="1" x14ac:dyDescent="0.25">
      <c r="A202" s="124"/>
      <c r="B202" s="20" t="s">
        <v>129</v>
      </c>
      <c r="C202" s="21" t="s">
        <v>63</v>
      </c>
      <c r="D202" s="21" t="s">
        <v>56</v>
      </c>
      <c r="E202" s="5" t="s">
        <v>31</v>
      </c>
      <c r="F202" s="5" t="s">
        <v>13</v>
      </c>
      <c r="G202" s="5" t="s">
        <v>136</v>
      </c>
      <c r="H202" s="9">
        <f>CEILING(692*USD,10)</f>
        <v>44740</v>
      </c>
      <c r="I202" s="8">
        <v>0.2</v>
      </c>
      <c r="J202" s="9">
        <f t="shared" si="14"/>
        <v>35800</v>
      </c>
    </row>
    <row r="203" spans="1:10" ht="30" customHeight="1" x14ac:dyDescent="0.25">
      <c r="A203" s="124"/>
      <c r="B203" s="20" t="s">
        <v>130</v>
      </c>
      <c r="C203" s="21" t="s">
        <v>64</v>
      </c>
      <c r="D203" s="21" t="s">
        <v>56</v>
      </c>
      <c r="E203" s="5" t="s">
        <v>31</v>
      </c>
      <c r="F203" s="5" t="s">
        <v>13</v>
      </c>
      <c r="G203" s="5" t="s">
        <v>112</v>
      </c>
      <c r="H203" s="9">
        <f>CEILING(722*USD,10)</f>
        <v>46680</v>
      </c>
      <c r="I203" s="8">
        <v>0.2</v>
      </c>
      <c r="J203" s="9">
        <f t="shared" si="14"/>
        <v>37350</v>
      </c>
    </row>
    <row r="204" spans="1:10" ht="30" customHeight="1" x14ac:dyDescent="0.25">
      <c r="A204" s="124"/>
      <c r="B204" s="20" t="s">
        <v>131</v>
      </c>
      <c r="C204" s="21" t="s">
        <v>106</v>
      </c>
      <c r="D204" s="21" t="s">
        <v>56</v>
      </c>
      <c r="E204" s="5" t="s">
        <v>31</v>
      </c>
      <c r="F204" s="5" t="s">
        <v>13</v>
      </c>
      <c r="G204" s="5" t="s">
        <v>112</v>
      </c>
      <c r="H204" s="9">
        <f>CEILING(755*USD,10)</f>
        <v>48810</v>
      </c>
      <c r="I204" s="8">
        <v>0.2</v>
      </c>
      <c r="J204" s="9">
        <f t="shared" si="14"/>
        <v>39050</v>
      </c>
    </row>
    <row r="205" spans="1:10" ht="30" customHeight="1" x14ac:dyDescent="0.25">
      <c r="A205" s="124"/>
      <c r="B205" s="20" t="s">
        <v>132</v>
      </c>
      <c r="C205" s="21" t="s">
        <v>107</v>
      </c>
      <c r="D205" s="21" t="s">
        <v>56</v>
      </c>
      <c r="E205" s="5" t="s">
        <v>31</v>
      </c>
      <c r="F205" s="5" t="s">
        <v>13</v>
      </c>
      <c r="G205" s="5" t="s">
        <v>112</v>
      </c>
      <c r="H205" s="9">
        <f>CEILING(775*USD,10)</f>
        <v>50100</v>
      </c>
      <c r="I205" s="8">
        <v>0.2</v>
      </c>
      <c r="J205" s="9">
        <f t="shared" si="14"/>
        <v>40080</v>
      </c>
    </row>
    <row r="206" spans="1:10" ht="30" customHeight="1" x14ac:dyDescent="0.25">
      <c r="A206" s="124"/>
      <c r="B206" s="20" t="s">
        <v>133</v>
      </c>
      <c r="C206" s="21" t="s">
        <v>109</v>
      </c>
      <c r="D206" s="21" t="s">
        <v>57</v>
      </c>
      <c r="E206" s="5" t="s">
        <v>31</v>
      </c>
      <c r="F206" s="5" t="s">
        <v>13</v>
      </c>
      <c r="G206" s="5" t="s">
        <v>112</v>
      </c>
      <c r="H206" s="9">
        <f>CEILING(755*USD,10)</f>
        <v>48810</v>
      </c>
      <c r="I206" s="8">
        <v>0.2</v>
      </c>
      <c r="J206" s="9">
        <f t="shared" si="14"/>
        <v>39050</v>
      </c>
    </row>
    <row r="207" spans="1:10" ht="20.100000000000001" customHeight="1" x14ac:dyDescent="0.25">
      <c r="A207" s="139" t="s">
        <v>74</v>
      </c>
      <c r="B207" s="139"/>
      <c r="C207" s="139"/>
      <c r="D207" s="139"/>
      <c r="E207" s="139"/>
      <c r="F207" s="139"/>
      <c r="G207" s="139"/>
      <c r="H207" s="139"/>
      <c r="I207" s="139"/>
      <c r="J207" s="139"/>
    </row>
    <row r="208" spans="1:10" ht="20.100000000000001" customHeight="1" x14ac:dyDescent="0.25">
      <c r="A208" s="135" t="s">
        <v>1291</v>
      </c>
      <c r="B208" s="136"/>
      <c r="C208" s="136"/>
      <c r="D208" s="136"/>
      <c r="E208" s="136"/>
      <c r="F208" s="136"/>
      <c r="G208" s="137"/>
      <c r="H208" s="9">
        <v>1220</v>
      </c>
      <c r="I208" s="8">
        <v>0</v>
      </c>
      <c r="J208" s="9">
        <f>H208</f>
        <v>1220</v>
      </c>
    </row>
    <row r="209" spans="1:10" ht="20.100000000000001" customHeight="1" x14ac:dyDescent="0.25">
      <c r="A209" s="135" t="s">
        <v>1053</v>
      </c>
      <c r="B209" s="136"/>
      <c r="C209" s="136"/>
      <c r="D209" s="136"/>
      <c r="E209" s="136"/>
      <c r="F209" s="136"/>
      <c r="G209" s="137"/>
      <c r="H209" s="9">
        <v>1630</v>
      </c>
      <c r="I209" s="8">
        <v>0</v>
      </c>
      <c r="J209" s="9">
        <f t="shared" ref="J209:J215" si="15">H209</f>
        <v>1630</v>
      </c>
    </row>
    <row r="210" spans="1:10" ht="20.100000000000001" customHeight="1" x14ac:dyDescent="0.25">
      <c r="A210" s="135" t="s">
        <v>114</v>
      </c>
      <c r="B210" s="136"/>
      <c r="C210" s="136"/>
      <c r="D210" s="136"/>
      <c r="E210" s="136"/>
      <c r="F210" s="136"/>
      <c r="G210" s="137"/>
      <c r="H210" s="9">
        <f>CEILING(31*USD,10)</f>
        <v>2010</v>
      </c>
      <c r="I210" s="8">
        <v>0</v>
      </c>
      <c r="J210" s="9">
        <f t="shared" si="15"/>
        <v>2010</v>
      </c>
    </row>
    <row r="211" spans="1:10" ht="20.100000000000001" customHeight="1" x14ac:dyDescent="0.25">
      <c r="A211" s="135" t="s">
        <v>115</v>
      </c>
      <c r="B211" s="136"/>
      <c r="C211" s="136"/>
      <c r="D211" s="136"/>
      <c r="E211" s="136"/>
      <c r="F211" s="136"/>
      <c r="G211" s="137"/>
      <c r="H211" s="9">
        <f>CEILING(31*USD,10)</f>
        <v>2010</v>
      </c>
      <c r="I211" s="8">
        <v>0</v>
      </c>
      <c r="J211" s="9">
        <f t="shared" si="15"/>
        <v>2010</v>
      </c>
    </row>
    <row r="212" spans="1:10" ht="20.100000000000001" customHeight="1" x14ac:dyDescent="0.25">
      <c r="A212" s="135" t="s">
        <v>137</v>
      </c>
      <c r="B212" s="136"/>
      <c r="C212" s="136"/>
      <c r="D212" s="136"/>
      <c r="E212" s="136"/>
      <c r="F212" s="136"/>
      <c r="G212" s="137"/>
      <c r="H212" s="9">
        <f>CEILING(122*USD,10)</f>
        <v>7890</v>
      </c>
      <c r="I212" s="8">
        <v>0</v>
      </c>
      <c r="J212" s="9">
        <f t="shared" si="15"/>
        <v>7890</v>
      </c>
    </row>
    <row r="213" spans="1:10" ht="20.100000000000001" customHeight="1" x14ac:dyDescent="0.25">
      <c r="A213" s="135" t="s">
        <v>117</v>
      </c>
      <c r="B213" s="136"/>
      <c r="C213" s="136"/>
      <c r="D213" s="136"/>
      <c r="E213" s="136"/>
      <c r="F213" s="136"/>
      <c r="G213" s="137"/>
      <c r="H213" s="9">
        <f>CEILING(122*USD,10)</f>
        <v>7890</v>
      </c>
      <c r="I213" s="8">
        <v>0</v>
      </c>
      <c r="J213" s="9">
        <f t="shared" si="15"/>
        <v>7890</v>
      </c>
    </row>
    <row r="214" spans="1:10" ht="20.100000000000001" customHeight="1" x14ac:dyDescent="0.25">
      <c r="A214" s="135" t="s">
        <v>138</v>
      </c>
      <c r="B214" s="136"/>
      <c r="C214" s="136"/>
      <c r="D214" s="136"/>
      <c r="E214" s="136"/>
      <c r="F214" s="136"/>
      <c r="G214" s="137"/>
      <c r="H214" s="9">
        <f>CEILING(215*USD,10)</f>
        <v>13900</v>
      </c>
      <c r="I214" s="8">
        <v>0</v>
      </c>
      <c r="J214" s="9">
        <f t="shared" si="15"/>
        <v>13900</v>
      </c>
    </row>
    <row r="215" spans="1:10" ht="20.100000000000001" customHeight="1" x14ac:dyDescent="0.25">
      <c r="A215" s="135" t="s">
        <v>139</v>
      </c>
      <c r="B215" s="136"/>
      <c r="C215" s="136"/>
      <c r="D215" s="136"/>
      <c r="E215" s="136"/>
      <c r="F215" s="136"/>
      <c r="G215" s="137"/>
      <c r="H215" s="9">
        <f>CEILING(150*USD,10)</f>
        <v>9700</v>
      </c>
      <c r="I215" s="8">
        <v>0</v>
      </c>
      <c r="J215" s="9">
        <f t="shared" si="15"/>
        <v>9700</v>
      </c>
    </row>
    <row r="216" spans="1:10" ht="20.100000000000001" customHeight="1" x14ac:dyDescent="0.25">
      <c r="A216" s="131"/>
      <c r="B216" s="131"/>
      <c r="C216" s="131"/>
      <c r="D216" s="131"/>
      <c r="E216" s="131"/>
      <c r="F216" s="131"/>
      <c r="G216" s="131"/>
      <c r="H216" s="131"/>
      <c r="I216" s="131"/>
      <c r="J216" s="131"/>
    </row>
    <row r="217" spans="1:10" ht="39.950000000000003" customHeight="1" x14ac:dyDescent="0.25">
      <c r="A217" s="117" t="s">
        <v>1544</v>
      </c>
      <c r="B217" s="118"/>
      <c r="C217" s="118"/>
      <c r="D217" s="118"/>
      <c r="E217" s="118"/>
      <c r="F217" s="118"/>
      <c r="G217" s="118"/>
      <c r="H217" s="118"/>
      <c r="I217" s="118"/>
      <c r="J217" s="118"/>
    </row>
    <row r="218" spans="1:10" ht="30" customHeight="1" x14ac:dyDescent="0.25">
      <c r="A218" s="5"/>
      <c r="B218" s="3" t="s">
        <v>2</v>
      </c>
      <c r="C218" s="4" t="s">
        <v>48</v>
      </c>
      <c r="D218" s="4" t="s">
        <v>49</v>
      </c>
      <c r="E218" s="3" t="s">
        <v>9</v>
      </c>
      <c r="F218" s="3" t="s">
        <v>10</v>
      </c>
      <c r="G218" s="4" t="s">
        <v>11</v>
      </c>
      <c r="H218" s="4" t="s">
        <v>17</v>
      </c>
      <c r="I218" s="4" t="s">
        <v>12</v>
      </c>
      <c r="J218" s="4" t="s">
        <v>18</v>
      </c>
    </row>
    <row r="219" spans="1:10" ht="30" customHeight="1" x14ac:dyDescent="0.25">
      <c r="A219" s="124"/>
      <c r="B219" s="20" t="s">
        <v>140</v>
      </c>
      <c r="C219" s="21" t="s">
        <v>52</v>
      </c>
      <c r="D219" s="21" t="s">
        <v>55</v>
      </c>
      <c r="E219" s="5" t="s">
        <v>31</v>
      </c>
      <c r="F219" s="5" t="s">
        <v>13</v>
      </c>
      <c r="G219" s="5" t="s">
        <v>135</v>
      </c>
      <c r="H219" s="9">
        <f>CEILING(1070*USD,10)</f>
        <v>69170</v>
      </c>
      <c r="I219" s="8">
        <v>0.2</v>
      </c>
      <c r="J219" s="9">
        <f>CEILING(H219*0.8,10)</f>
        <v>55340</v>
      </c>
    </row>
    <row r="220" spans="1:10" ht="30" customHeight="1" x14ac:dyDescent="0.25">
      <c r="A220" s="124"/>
      <c r="B220" s="20" t="s">
        <v>141</v>
      </c>
      <c r="C220" s="21" t="s">
        <v>58</v>
      </c>
      <c r="D220" s="21" t="s">
        <v>55</v>
      </c>
      <c r="E220" s="5" t="s">
        <v>31</v>
      </c>
      <c r="F220" s="5" t="s">
        <v>13</v>
      </c>
      <c r="G220" s="5" t="s">
        <v>135</v>
      </c>
      <c r="H220" s="9">
        <f>CEILING(1090*USD,10)</f>
        <v>70460</v>
      </c>
      <c r="I220" s="8">
        <v>0.2</v>
      </c>
      <c r="J220" s="9">
        <f t="shared" ref="J220:J227" si="16">CEILING(H220*0.8,10)</f>
        <v>56370</v>
      </c>
    </row>
    <row r="221" spans="1:10" ht="30" customHeight="1" x14ac:dyDescent="0.25">
      <c r="A221" s="124"/>
      <c r="B221" s="20" t="s">
        <v>142</v>
      </c>
      <c r="C221" s="21" t="s">
        <v>103</v>
      </c>
      <c r="D221" s="21" t="s">
        <v>55</v>
      </c>
      <c r="E221" s="5" t="s">
        <v>31</v>
      </c>
      <c r="F221" s="5" t="s">
        <v>13</v>
      </c>
      <c r="G221" s="5" t="s">
        <v>135</v>
      </c>
      <c r="H221" s="9">
        <f>CEILING(1180*USD,10)</f>
        <v>76280</v>
      </c>
      <c r="I221" s="8">
        <v>0.2</v>
      </c>
      <c r="J221" s="9">
        <f t="shared" si="16"/>
        <v>61030</v>
      </c>
    </row>
    <row r="222" spans="1:10" ht="30" customHeight="1" x14ac:dyDescent="0.25">
      <c r="A222" s="124"/>
      <c r="B222" s="20" t="s">
        <v>143</v>
      </c>
      <c r="C222" s="21" t="s">
        <v>104</v>
      </c>
      <c r="D222" s="21" t="s">
        <v>55</v>
      </c>
      <c r="E222" s="5" t="s">
        <v>31</v>
      </c>
      <c r="F222" s="5" t="s">
        <v>13</v>
      </c>
      <c r="G222" s="5" t="s">
        <v>135</v>
      </c>
      <c r="H222" s="9">
        <f>CEILING(1230*USD,10)</f>
        <v>79510</v>
      </c>
      <c r="I222" s="8">
        <v>0.2</v>
      </c>
      <c r="J222" s="9">
        <f t="shared" si="16"/>
        <v>63610</v>
      </c>
    </row>
    <row r="223" spans="1:10" ht="30" customHeight="1" x14ac:dyDescent="0.25">
      <c r="A223" s="124"/>
      <c r="B223" s="20" t="s">
        <v>144</v>
      </c>
      <c r="C223" s="21" t="s">
        <v>64</v>
      </c>
      <c r="D223" s="21" t="s">
        <v>56</v>
      </c>
      <c r="E223" s="5" t="s">
        <v>31</v>
      </c>
      <c r="F223" s="5" t="s">
        <v>13</v>
      </c>
      <c r="G223" s="5" t="s">
        <v>149</v>
      </c>
      <c r="H223" s="9">
        <f>CEILING(1090*USD,10)</f>
        <v>70460</v>
      </c>
      <c r="I223" s="8">
        <v>0.2</v>
      </c>
      <c r="J223" s="9">
        <f t="shared" si="16"/>
        <v>56370</v>
      </c>
    </row>
    <row r="224" spans="1:10" ht="30" customHeight="1" x14ac:dyDescent="0.25">
      <c r="A224" s="124"/>
      <c r="B224" s="20" t="s">
        <v>145</v>
      </c>
      <c r="C224" s="21" t="s">
        <v>105</v>
      </c>
      <c r="D224" s="21" t="s">
        <v>56</v>
      </c>
      <c r="E224" s="5" t="s">
        <v>31</v>
      </c>
      <c r="F224" s="5" t="s">
        <v>13</v>
      </c>
      <c r="G224" s="5" t="s">
        <v>149</v>
      </c>
      <c r="H224" s="9">
        <f>CEILING(1120*USD,10)</f>
        <v>72400</v>
      </c>
      <c r="I224" s="8">
        <v>0.2</v>
      </c>
      <c r="J224" s="9">
        <f t="shared" si="16"/>
        <v>57920</v>
      </c>
    </row>
    <row r="225" spans="1:10" ht="30" customHeight="1" x14ac:dyDescent="0.25">
      <c r="A225" s="124"/>
      <c r="B225" s="20" t="s">
        <v>146</v>
      </c>
      <c r="C225" s="21" t="s">
        <v>107</v>
      </c>
      <c r="D225" s="21" t="s">
        <v>56</v>
      </c>
      <c r="E225" s="5" t="s">
        <v>31</v>
      </c>
      <c r="F225" s="5" t="s">
        <v>13</v>
      </c>
      <c r="G225" s="5" t="s">
        <v>149</v>
      </c>
      <c r="H225" s="9">
        <f>CEILING(1210*USD,10)</f>
        <v>78220</v>
      </c>
      <c r="I225" s="8">
        <v>0.2</v>
      </c>
      <c r="J225" s="9">
        <f t="shared" si="16"/>
        <v>62580</v>
      </c>
    </row>
    <row r="226" spans="1:10" ht="30" customHeight="1" x14ac:dyDescent="0.25">
      <c r="A226" s="124"/>
      <c r="B226" s="20" t="s">
        <v>147</v>
      </c>
      <c r="C226" s="21" t="s">
        <v>108</v>
      </c>
      <c r="D226" s="21" t="s">
        <v>56</v>
      </c>
      <c r="E226" s="5" t="s">
        <v>31</v>
      </c>
      <c r="F226" s="5" t="s">
        <v>13</v>
      </c>
      <c r="G226" s="5" t="s">
        <v>149</v>
      </c>
      <c r="H226" s="9">
        <f>CEILING(1265*USD,10)</f>
        <v>81770</v>
      </c>
      <c r="I226" s="8">
        <v>0.2</v>
      </c>
      <c r="J226" s="9">
        <f t="shared" si="16"/>
        <v>65420</v>
      </c>
    </row>
    <row r="227" spans="1:10" ht="30" customHeight="1" x14ac:dyDescent="0.25">
      <c r="A227" s="124"/>
      <c r="B227" s="20" t="s">
        <v>148</v>
      </c>
      <c r="C227" s="21" t="s">
        <v>68</v>
      </c>
      <c r="D227" s="21" t="s">
        <v>57</v>
      </c>
      <c r="E227" s="5" t="s">
        <v>31</v>
      </c>
      <c r="F227" s="5" t="s">
        <v>13</v>
      </c>
      <c r="G227" s="5" t="s">
        <v>149</v>
      </c>
      <c r="H227" s="9">
        <f>CEILING(1090*USD,10)</f>
        <v>70460</v>
      </c>
      <c r="I227" s="8">
        <v>0.2</v>
      </c>
      <c r="J227" s="9">
        <f t="shared" si="16"/>
        <v>56370</v>
      </c>
    </row>
    <row r="228" spans="1:10" ht="20.100000000000001" customHeight="1" x14ac:dyDescent="0.25">
      <c r="A228" s="139" t="s">
        <v>74</v>
      </c>
      <c r="B228" s="139"/>
      <c r="C228" s="139"/>
      <c r="D228" s="139"/>
      <c r="E228" s="139"/>
      <c r="F228" s="139"/>
      <c r="G228" s="139"/>
      <c r="H228" s="139"/>
      <c r="I228" s="139"/>
      <c r="J228" s="139"/>
    </row>
    <row r="229" spans="1:10" ht="20.100000000000001" customHeight="1" x14ac:dyDescent="0.25">
      <c r="A229" s="135" t="s">
        <v>1053</v>
      </c>
      <c r="B229" s="136"/>
      <c r="C229" s="136"/>
      <c r="D229" s="136"/>
      <c r="E229" s="136"/>
      <c r="F229" s="136"/>
      <c r="G229" s="137"/>
      <c r="H229" s="9">
        <v>1630</v>
      </c>
      <c r="I229" s="8">
        <v>0</v>
      </c>
      <c r="J229" s="9">
        <f>H229</f>
        <v>1630</v>
      </c>
    </row>
    <row r="230" spans="1:10" ht="20.100000000000001" customHeight="1" x14ac:dyDescent="0.25">
      <c r="A230" s="135" t="s">
        <v>150</v>
      </c>
      <c r="B230" s="136"/>
      <c r="C230" s="136"/>
      <c r="D230" s="136"/>
      <c r="E230" s="136"/>
      <c r="F230" s="136"/>
      <c r="G230" s="137"/>
      <c r="H230" s="9">
        <f>CEILING(31*USD,10)</f>
        <v>2010</v>
      </c>
      <c r="I230" s="8">
        <v>0</v>
      </c>
      <c r="J230" s="9">
        <f t="shared" ref="J230:J242" si="17">H230</f>
        <v>2010</v>
      </c>
    </row>
    <row r="231" spans="1:10" ht="20.100000000000001" customHeight="1" x14ac:dyDescent="0.25">
      <c r="A231" s="135" t="s">
        <v>151</v>
      </c>
      <c r="B231" s="136"/>
      <c r="C231" s="136"/>
      <c r="D231" s="136"/>
      <c r="E231" s="136"/>
      <c r="F231" s="136"/>
      <c r="G231" s="137"/>
      <c r="H231" s="9">
        <f>CEILING(102*USD,10)</f>
        <v>6600</v>
      </c>
      <c r="I231" s="8">
        <v>0</v>
      </c>
      <c r="J231" s="9">
        <f t="shared" si="17"/>
        <v>6600</v>
      </c>
    </row>
    <row r="232" spans="1:10" ht="20.100000000000001" customHeight="1" x14ac:dyDescent="0.25">
      <c r="A232" s="135" t="s">
        <v>152</v>
      </c>
      <c r="B232" s="136"/>
      <c r="C232" s="136"/>
      <c r="D232" s="136"/>
      <c r="E232" s="136"/>
      <c r="F232" s="136"/>
      <c r="G232" s="137"/>
      <c r="H232" s="9">
        <f>CEILING(640*USD,10)</f>
        <v>41370</v>
      </c>
      <c r="I232" s="8">
        <v>0</v>
      </c>
      <c r="J232" s="9">
        <f t="shared" si="17"/>
        <v>41370</v>
      </c>
    </row>
    <row r="233" spans="1:10" ht="20.100000000000001" customHeight="1" x14ac:dyDescent="0.25">
      <c r="A233" s="135" t="s">
        <v>153</v>
      </c>
      <c r="B233" s="136"/>
      <c r="C233" s="136"/>
      <c r="D233" s="136"/>
      <c r="E233" s="136"/>
      <c r="F233" s="136"/>
      <c r="G233" s="137"/>
      <c r="H233" s="9">
        <f>CEILING(450*USD,10)</f>
        <v>29090</v>
      </c>
      <c r="I233" s="8">
        <v>0</v>
      </c>
      <c r="J233" s="9">
        <f t="shared" si="17"/>
        <v>29090</v>
      </c>
    </row>
    <row r="234" spans="1:10" ht="20.100000000000001" customHeight="1" x14ac:dyDescent="0.25">
      <c r="A234" s="135" t="s">
        <v>154</v>
      </c>
      <c r="B234" s="136"/>
      <c r="C234" s="136"/>
      <c r="D234" s="136"/>
      <c r="E234" s="136"/>
      <c r="F234" s="136"/>
      <c r="G234" s="137"/>
      <c r="H234" s="9">
        <f>CEILING(367*USD,10)</f>
        <v>23730</v>
      </c>
      <c r="I234" s="8">
        <v>0</v>
      </c>
      <c r="J234" s="9">
        <f t="shared" si="17"/>
        <v>23730</v>
      </c>
    </row>
    <row r="235" spans="1:10" ht="20.100000000000001" customHeight="1" x14ac:dyDescent="0.25">
      <c r="A235" s="135" t="s">
        <v>155</v>
      </c>
      <c r="B235" s="136"/>
      <c r="C235" s="136"/>
      <c r="D235" s="136"/>
      <c r="E235" s="136"/>
      <c r="F235" s="136"/>
      <c r="G235" s="137"/>
      <c r="H235" s="9">
        <f>CEILING(455*USD,10)</f>
        <v>29420</v>
      </c>
      <c r="I235" s="8">
        <v>0</v>
      </c>
      <c r="J235" s="9">
        <f t="shared" si="17"/>
        <v>29420</v>
      </c>
    </row>
    <row r="236" spans="1:10" ht="20.100000000000001" customHeight="1" x14ac:dyDescent="0.25">
      <c r="A236" s="135" t="s">
        <v>1291</v>
      </c>
      <c r="B236" s="136"/>
      <c r="C236" s="136"/>
      <c r="D236" s="136"/>
      <c r="E236" s="136"/>
      <c r="F236" s="136"/>
      <c r="G236" s="137"/>
      <c r="H236" s="9">
        <v>1220</v>
      </c>
      <c r="I236" s="8">
        <v>0</v>
      </c>
      <c r="J236" s="9">
        <f t="shared" si="17"/>
        <v>1220</v>
      </c>
    </row>
    <row r="237" spans="1:10" ht="20.100000000000001" customHeight="1" x14ac:dyDescent="0.25">
      <c r="A237" s="138" t="s">
        <v>156</v>
      </c>
      <c r="B237" s="138"/>
      <c r="C237" s="138"/>
      <c r="D237" s="138"/>
      <c r="E237" s="138"/>
      <c r="F237" s="138"/>
      <c r="G237" s="138"/>
      <c r="H237" s="9">
        <f>CEILING(340*USD,10)</f>
        <v>21980</v>
      </c>
      <c r="I237" s="8">
        <v>0</v>
      </c>
      <c r="J237" s="9">
        <f t="shared" si="17"/>
        <v>21980</v>
      </c>
    </row>
    <row r="238" spans="1:10" ht="20.100000000000001" customHeight="1" x14ac:dyDescent="0.25">
      <c r="A238" s="138" t="s">
        <v>157</v>
      </c>
      <c r="B238" s="138"/>
      <c r="C238" s="138"/>
      <c r="D238" s="138"/>
      <c r="E238" s="138"/>
      <c r="F238" s="138"/>
      <c r="G238" s="138"/>
      <c r="H238" s="9">
        <f>CEILING(420*USD,10)</f>
        <v>27150</v>
      </c>
      <c r="I238" s="8">
        <v>0</v>
      </c>
      <c r="J238" s="9">
        <f t="shared" si="17"/>
        <v>27150</v>
      </c>
    </row>
    <row r="239" spans="1:10" ht="20.100000000000001" customHeight="1" x14ac:dyDescent="0.25">
      <c r="A239" s="135" t="s">
        <v>158</v>
      </c>
      <c r="B239" s="136"/>
      <c r="C239" s="136"/>
      <c r="D239" s="136"/>
      <c r="E239" s="136"/>
      <c r="F239" s="136"/>
      <c r="G239" s="137"/>
      <c r="H239" s="9">
        <f>CEILING(510*USD,10)</f>
        <v>32970</v>
      </c>
      <c r="I239" s="8">
        <v>0</v>
      </c>
      <c r="J239" s="9">
        <f t="shared" si="17"/>
        <v>32970</v>
      </c>
    </row>
    <row r="240" spans="1:10" ht="20.100000000000001" customHeight="1" x14ac:dyDescent="0.25">
      <c r="A240" s="135" t="s">
        <v>118</v>
      </c>
      <c r="B240" s="136"/>
      <c r="C240" s="136"/>
      <c r="D240" s="136"/>
      <c r="E240" s="136"/>
      <c r="F240" s="136"/>
      <c r="G240" s="137"/>
      <c r="H240" s="9">
        <f>CEILING(367*USD,10)</f>
        <v>23730</v>
      </c>
      <c r="I240" s="8">
        <v>0</v>
      </c>
      <c r="J240" s="9">
        <f t="shared" si="17"/>
        <v>23730</v>
      </c>
    </row>
    <row r="241" spans="1:10" ht="20.100000000000001" customHeight="1" x14ac:dyDescent="0.25">
      <c r="A241" s="135" t="s">
        <v>81</v>
      </c>
      <c r="B241" s="136"/>
      <c r="C241" s="136"/>
      <c r="D241" s="136"/>
      <c r="E241" s="136"/>
      <c r="F241" s="136"/>
      <c r="G241" s="137"/>
      <c r="H241" s="9">
        <f>CEILING(455*USD,10)</f>
        <v>29420</v>
      </c>
      <c r="I241" s="8">
        <v>0</v>
      </c>
      <c r="J241" s="9">
        <f t="shared" si="17"/>
        <v>29420</v>
      </c>
    </row>
    <row r="242" spans="1:10" ht="20.100000000000001" customHeight="1" x14ac:dyDescent="0.25">
      <c r="A242" s="135" t="s">
        <v>1292</v>
      </c>
      <c r="B242" s="136"/>
      <c r="C242" s="136"/>
      <c r="D242" s="136"/>
      <c r="E242" s="136"/>
      <c r="F242" s="136"/>
      <c r="G242" s="137"/>
      <c r="H242" s="9">
        <f>CEILING(670*USD,10)</f>
        <v>43310</v>
      </c>
      <c r="I242" s="8">
        <v>0</v>
      </c>
      <c r="J242" s="9">
        <f t="shared" si="17"/>
        <v>43310</v>
      </c>
    </row>
    <row r="243" spans="1:10" ht="20.100000000000001" customHeight="1" x14ac:dyDescent="0.25">
      <c r="A243" s="131"/>
      <c r="B243" s="131"/>
      <c r="C243" s="131"/>
      <c r="D243" s="131"/>
      <c r="E243" s="131"/>
      <c r="F243" s="131"/>
      <c r="G243" s="131"/>
      <c r="H243" s="131"/>
      <c r="I243" s="131"/>
      <c r="J243" s="131"/>
    </row>
    <row r="244" spans="1:10" ht="39.950000000000003" customHeight="1" x14ac:dyDescent="0.25">
      <c r="A244" s="117" t="s">
        <v>1545</v>
      </c>
      <c r="B244" s="118"/>
      <c r="C244" s="118"/>
      <c r="D244" s="118"/>
      <c r="E244" s="118"/>
      <c r="F244" s="118"/>
      <c r="G244" s="118"/>
      <c r="H244" s="118"/>
      <c r="I244" s="118"/>
      <c r="J244" s="118"/>
    </row>
    <row r="245" spans="1:10" ht="30" customHeight="1" x14ac:dyDescent="0.25">
      <c r="A245" s="5"/>
      <c r="B245" s="3" t="s">
        <v>2</v>
      </c>
      <c r="C245" s="4" t="s">
        <v>48</v>
      </c>
      <c r="D245" s="4" t="s">
        <v>49</v>
      </c>
      <c r="E245" s="3" t="s">
        <v>9</v>
      </c>
      <c r="F245" s="3" t="s">
        <v>10</v>
      </c>
      <c r="G245" s="4" t="s">
        <v>11</v>
      </c>
      <c r="H245" s="4" t="s">
        <v>17</v>
      </c>
      <c r="I245" s="4" t="s">
        <v>12</v>
      </c>
      <c r="J245" s="4" t="s">
        <v>18</v>
      </c>
    </row>
    <row r="246" spans="1:10" ht="20.100000000000001" customHeight="1" x14ac:dyDescent="0.25">
      <c r="A246" s="124"/>
      <c r="B246" s="23" t="s">
        <v>159</v>
      </c>
      <c r="C246" s="24" t="s">
        <v>167</v>
      </c>
      <c r="D246" s="24" t="s">
        <v>56</v>
      </c>
      <c r="E246" s="5" t="s">
        <v>31</v>
      </c>
      <c r="F246" s="24" t="s">
        <v>13</v>
      </c>
      <c r="G246" s="5" t="s">
        <v>173</v>
      </c>
      <c r="H246" s="9">
        <f>CEILING(2730*USD,10)</f>
        <v>176470</v>
      </c>
      <c r="I246" s="8">
        <v>0.2</v>
      </c>
      <c r="J246" s="9">
        <f>CEILING(H246*0.8,10)</f>
        <v>141180</v>
      </c>
    </row>
    <row r="247" spans="1:10" ht="20.100000000000001" customHeight="1" x14ac:dyDescent="0.25">
      <c r="A247" s="124"/>
      <c r="B247" s="20" t="s">
        <v>160</v>
      </c>
      <c r="C247" s="21" t="s">
        <v>167</v>
      </c>
      <c r="D247" s="21" t="s">
        <v>56</v>
      </c>
      <c r="E247" s="5" t="s">
        <v>31</v>
      </c>
      <c r="F247" s="21" t="s">
        <v>172</v>
      </c>
      <c r="G247" s="5" t="s">
        <v>173</v>
      </c>
      <c r="H247" s="9">
        <f>CEILING(3010*USD,10)</f>
        <v>194570</v>
      </c>
      <c r="I247" s="8">
        <v>0.2</v>
      </c>
      <c r="J247" s="9">
        <f t="shared" ref="J247:J253" si="18">CEILING(H247*0.8,10)</f>
        <v>155660</v>
      </c>
    </row>
    <row r="248" spans="1:10" ht="20.100000000000001" customHeight="1" x14ac:dyDescent="0.25">
      <c r="A248" s="124"/>
      <c r="B248" s="20" t="s">
        <v>161</v>
      </c>
      <c r="C248" s="21" t="s">
        <v>168</v>
      </c>
      <c r="D248" s="21" t="s">
        <v>56</v>
      </c>
      <c r="E248" s="5" t="s">
        <v>31</v>
      </c>
      <c r="F248" s="21" t="s">
        <v>13</v>
      </c>
      <c r="G248" s="5" t="s">
        <v>173</v>
      </c>
      <c r="H248" s="9">
        <f>CEILING(3010*USD,10)</f>
        <v>194570</v>
      </c>
      <c r="I248" s="8">
        <v>0.2</v>
      </c>
      <c r="J248" s="9">
        <f t="shared" si="18"/>
        <v>155660</v>
      </c>
    </row>
    <row r="249" spans="1:10" ht="20.100000000000001" customHeight="1" x14ac:dyDescent="0.25">
      <c r="A249" s="124"/>
      <c r="B249" s="20" t="s">
        <v>162</v>
      </c>
      <c r="C249" s="21" t="s">
        <v>168</v>
      </c>
      <c r="D249" s="21" t="s">
        <v>56</v>
      </c>
      <c r="E249" s="5" t="s">
        <v>31</v>
      </c>
      <c r="F249" s="21" t="s">
        <v>172</v>
      </c>
      <c r="G249" s="5" t="s">
        <v>173</v>
      </c>
      <c r="H249" s="9">
        <f>CEILING(3300*USD,10)</f>
        <v>213320</v>
      </c>
      <c r="I249" s="8">
        <v>0.2</v>
      </c>
      <c r="J249" s="9">
        <f t="shared" si="18"/>
        <v>170660</v>
      </c>
    </row>
    <row r="250" spans="1:10" ht="20.100000000000001" customHeight="1" x14ac:dyDescent="0.25">
      <c r="A250" s="124"/>
      <c r="B250" s="20" t="s">
        <v>163</v>
      </c>
      <c r="C250" s="21" t="s">
        <v>169</v>
      </c>
      <c r="D250" s="21" t="s">
        <v>56</v>
      </c>
      <c r="E250" s="5" t="s">
        <v>31</v>
      </c>
      <c r="F250" s="21" t="s">
        <v>13</v>
      </c>
      <c r="G250" s="5" t="s">
        <v>173</v>
      </c>
      <c r="H250" s="9">
        <f>CEILING(3580*USD,10)</f>
        <v>231420</v>
      </c>
      <c r="I250" s="8">
        <v>0.2</v>
      </c>
      <c r="J250" s="9">
        <f t="shared" si="18"/>
        <v>185140</v>
      </c>
    </row>
    <row r="251" spans="1:10" ht="20.100000000000001" customHeight="1" x14ac:dyDescent="0.25">
      <c r="A251" s="124"/>
      <c r="B251" s="20" t="s">
        <v>164</v>
      </c>
      <c r="C251" s="21" t="s">
        <v>169</v>
      </c>
      <c r="D251" s="21" t="s">
        <v>56</v>
      </c>
      <c r="E251" s="5" t="s">
        <v>31</v>
      </c>
      <c r="F251" s="21" t="s">
        <v>172</v>
      </c>
      <c r="G251" s="5" t="s">
        <v>173</v>
      </c>
      <c r="H251" s="9">
        <f>CEILING(3870*USD,10)</f>
        <v>250160</v>
      </c>
      <c r="I251" s="8">
        <v>0.2</v>
      </c>
      <c r="J251" s="9">
        <f t="shared" si="18"/>
        <v>200130</v>
      </c>
    </row>
    <row r="252" spans="1:10" ht="20.100000000000001" customHeight="1" x14ac:dyDescent="0.25">
      <c r="A252" s="124"/>
      <c r="B252" s="20" t="s">
        <v>165</v>
      </c>
      <c r="C252" s="21" t="s">
        <v>170</v>
      </c>
      <c r="D252" s="21" t="s">
        <v>171</v>
      </c>
      <c r="E252" s="5" t="s">
        <v>31</v>
      </c>
      <c r="F252" s="21" t="s">
        <v>13</v>
      </c>
      <c r="G252" s="5" t="s">
        <v>173</v>
      </c>
      <c r="H252" s="9">
        <f>CEILING(3580*USD,10)</f>
        <v>231420</v>
      </c>
      <c r="I252" s="8">
        <v>0.2</v>
      </c>
      <c r="J252" s="9">
        <f t="shared" si="18"/>
        <v>185140</v>
      </c>
    </row>
    <row r="253" spans="1:10" ht="20.100000000000001" customHeight="1" x14ac:dyDescent="0.25">
      <c r="A253" s="124"/>
      <c r="B253" s="20" t="s">
        <v>166</v>
      </c>
      <c r="C253" s="21" t="s">
        <v>170</v>
      </c>
      <c r="D253" s="21" t="s">
        <v>171</v>
      </c>
      <c r="E253" s="5" t="s">
        <v>31</v>
      </c>
      <c r="F253" s="21" t="s">
        <v>172</v>
      </c>
      <c r="G253" s="5" t="s">
        <v>173</v>
      </c>
      <c r="H253" s="9">
        <f>CEILING(3870*USD,10)</f>
        <v>250160</v>
      </c>
      <c r="I253" s="8">
        <v>0.2</v>
      </c>
      <c r="J253" s="9">
        <f t="shared" si="18"/>
        <v>200130</v>
      </c>
    </row>
    <row r="254" spans="1:10" ht="20.100000000000001" customHeight="1" x14ac:dyDescent="0.25">
      <c r="A254" s="139" t="s">
        <v>74</v>
      </c>
      <c r="B254" s="139"/>
      <c r="C254" s="139"/>
      <c r="D254" s="139"/>
      <c r="E254" s="139"/>
      <c r="F254" s="139"/>
      <c r="G254" s="139"/>
      <c r="H254" s="139"/>
      <c r="I254" s="139"/>
      <c r="J254" s="139"/>
    </row>
    <row r="255" spans="1:10" ht="20.100000000000001" customHeight="1" x14ac:dyDescent="0.25">
      <c r="A255" s="135" t="s">
        <v>1053</v>
      </c>
      <c r="B255" s="136"/>
      <c r="C255" s="136"/>
      <c r="D255" s="136"/>
      <c r="E255" s="136"/>
      <c r="F255" s="136"/>
      <c r="G255" s="137"/>
      <c r="H255" s="9">
        <v>1630</v>
      </c>
      <c r="I255" s="8">
        <v>0</v>
      </c>
      <c r="J255" s="9">
        <f>H255</f>
        <v>1630</v>
      </c>
    </row>
    <row r="256" spans="1:10" ht="20.100000000000001" customHeight="1" x14ac:dyDescent="0.25">
      <c r="A256" s="135" t="s">
        <v>174</v>
      </c>
      <c r="B256" s="136"/>
      <c r="C256" s="136"/>
      <c r="D256" s="136"/>
      <c r="E256" s="136"/>
      <c r="F256" s="136"/>
      <c r="G256" s="137"/>
      <c r="H256" s="9">
        <f>CEILING(155*USD,10)</f>
        <v>10020</v>
      </c>
      <c r="I256" s="8">
        <v>0</v>
      </c>
      <c r="J256" s="9">
        <f t="shared" ref="J256:J266" si="19">H256</f>
        <v>10020</v>
      </c>
    </row>
    <row r="257" spans="1:10" ht="20.100000000000001" customHeight="1" x14ac:dyDescent="0.25">
      <c r="A257" s="135" t="s">
        <v>175</v>
      </c>
      <c r="B257" s="136"/>
      <c r="C257" s="136"/>
      <c r="D257" s="136"/>
      <c r="E257" s="136"/>
      <c r="F257" s="136"/>
      <c r="G257" s="137"/>
      <c r="H257" s="9">
        <f>CEILING(820*USD,10)</f>
        <v>53010</v>
      </c>
      <c r="I257" s="8">
        <v>0</v>
      </c>
      <c r="J257" s="9">
        <f t="shared" si="19"/>
        <v>53010</v>
      </c>
    </row>
    <row r="258" spans="1:10" ht="20.100000000000001" customHeight="1" x14ac:dyDescent="0.25">
      <c r="A258" s="135" t="s">
        <v>176</v>
      </c>
      <c r="B258" s="136"/>
      <c r="C258" s="136"/>
      <c r="D258" s="136"/>
      <c r="E258" s="136"/>
      <c r="F258" s="136"/>
      <c r="G258" s="137"/>
      <c r="H258" s="9">
        <f>CEILING(245*USD,10)</f>
        <v>15840</v>
      </c>
      <c r="I258" s="8">
        <v>0</v>
      </c>
      <c r="J258" s="9">
        <f t="shared" si="19"/>
        <v>15840</v>
      </c>
    </row>
    <row r="259" spans="1:10" ht="20.100000000000001" customHeight="1" x14ac:dyDescent="0.25">
      <c r="A259" s="135" t="s">
        <v>177</v>
      </c>
      <c r="B259" s="136"/>
      <c r="C259" s="136"/>
      <c r="D259" s="136"/>
      <c r="E259" s="136"/>
      <c r="F259" s="136"/>
      <c r="G259" s="137"/>
      <c r="H259" s="9">
        <f>CEILING(640*USD,10)</f>
        <v>41370</v>
      </c>
      <c r="I259" s="8">
        <v>0</v>
      </c>
      <c r="J259" s="9">
        <f t="shared" si="19"/>
        <v>41370</v>
      </c>
    </row>
    <row r="260" spans="1:10" ht="20.100000000000001" customHeight="1" x14ac:dyDescent="0.25">
      <c r="A260" s="135" t="s">
        <v>178</v>
      </c>
      <c r="B260" s="136"/>
      <c r="C260" s="136"/>
      <c r="D260" s="136"/>
      <c r="E260" s="136"/>
      <c r="F260" s="136"/>
      <c r="G260" s="137"/>
      <c r="H260" s="9">
        <f>CEILING(450*USD,10)</f>
        <v>29090</v>
      </c>
      <c r="I260" s="8">
        <v>0</v>
      </c>
      <c r="J260" s="9">
        <f t="shared" si="19"/>
        <v>29090</v>
      </c>
    </row>
    <row r="261" spans="1:10" ht="20.100000000000001" customHeight="1" x14ac:dyDescent="0.25">
      <c r="A261" s="135" t="s">
        <v>1291</v>
      </c>
      <c r="B261" s="136"/>
      <c r="C261" s="136"/>
      <c r="D261" s="136"/>
      <c r="E261" s="136"/>
      <c r="F261" s="136"/>
      <c r="G261" s="137"/>
      <c r="H261" s="9">
        <v>1220</v>
      </c>
      <c r="I261" s="8">
        <v>0</v>
      </c>
      <c r="J261" s="9">
        <f t="shared" si="19"/>
        <v>1220</v>
      </c>
    </row>
    <row r="262" spans="1:10" ht="20.100000000000001" customHeight="1" x14ac:dyDescent="0.25">
      <c r="A262" s="135" t="s">
        <v>179</v>
      </c>
      <c r="B262" s="136"/>
      <c r="C262" s="136"/>
      <c r="D262" s="136"/>
      <c r="E262" s="136"/>
      <c r="F262" s="136"/>
      <c r="G262" s="137"/>
      <c r="H262" s="9">
        <f>CEILING(367*USD,10)</f>
        <v>23730</v>
      </c>
      <c r="I262" s="8">
        <v>0</v>
      </c>
      <c r="J262" s="9">
        <f t="shared" si="19"/>
        <v>23730</v>
      </c>
    </row>
    <row r="263" spans="1:10" ht="20.100000000000001" customHeight="1" x14ac:dyDescent="0.25">
      <c r="A263" s="138" t="s">
        <v>180</v>
      </c>
      <c r="B263" s="138"/>
      <c r="C263" s="138"/>
      <c r="D263" s="138"/>
      <c r="E263" s="138"/>
      <c r="F263" s="138"/>
      <c r="G263" s="138"/>
      <c r="H263" s="9">
        <f>CEILING(367*USD,10)</f>
        <v>23730</v>
      </c>
      <c r="I263" s="8">
        <v>0</v>
      </c>
      <c r="J263" s="9">
        <f t="shared" si="19"/>
        <v>23730</v>
      </c>
    </row>
    <row r="264" spans="1:10" ht="20.100000000000001" customHeight="1" x14ac:dyDescent="0.25">
      <c r="A264" s="138" t="s">
        <v>181</v>
      </c>
      <c r="B264" s="138"/>
      <c r="C264" s="138"/>
      <c r="D264" s="138"/>
      <c r="E264" s="138"/>
      <c r="F264" s="138"/>
      <c r="G264" s="138"/>
      <c r="H264" s="9">
        <f>CEILING(550*USD,10)</f>
        <v>35560</v>
      </c>
      <c r="I264" s="8">
        <v>0</v>
      </c>
      <c r="J264" s="9">
        <f t="shared" si="19"/>
        <v>35560</v>
      </c>
    </row>
    <row r="265" spans="1:10" ht="20.100000000000001" customHeight="1" x14ac:dyDescent="0.25">
      <c r="A265" s="135" t="s">
        <v>118</v>
      </c>
      <c r="B265" s="136"/>
      <c r="C265" s="136"/>
      <c r="D265" s="136"/>
      <c r="E265" s="136"/>
      <c r="F265" s="136"/>
      <c r="G265" s="137"/>
      <c r="H265" s="9">
        <f>CEILING(367*USD,10)</f>
        <v>23730</v>
      </c>
      <c r="I265" s="8">
        <v>0</v>
      </c>
      <c r="J265" s="9">
        <f t="shared" si="19"/>
        <v>23730</v>
      </c>
    </row>
    <row r="266" spans="1:10" ht="20.100000000000001" customHeight="1" x14ac:dyDescent="0.25">
      <c r="A266" s="135" t="s">
        <v>1292</v>
      </c>
      <c r="B266" s="136"/>
      <c r="C266" s="136"/>
      <c r="D266" s="136"/>
      <c r="E266" s="136"/>
      <c r="F266" s="136"/>
      <c r="G266" s="137"/>
      <c r="H266" s="9">
        <f>CEILING(670*USD,10)</f>
        <v>43310</v>
      </c>
      <c r="I266" s="8">
        <v>0</v>
      </c>
      <c r="J266" s="9">
        <f t="shared" si="19"/>
        <v>43310</v>
      </c>
    </row>
    <row r="267" spans="1:10" ht="20.100000000000001" customHeight="1" x14ac:dyDescent="0.25">
      <c r="A267" s="131"/>
      <c r="B267" s="131"/>
      <c r="C267" s="131"/>
      <c r="D267" s="131"/>
      <c r="E267" s="131"/>
      <c r="F267" s="131"/>
      <c r="G267" s="131"/>
      <c r="H267" s="131"/>
      <c r="I267" s="131"/>
      <c r="J267" s="131"/>
    </row>
    <row r="268" spans="1:10" ht="39.950000000000003" customHeight="1" x14ac:dyDescent="0.25">
      <c r="A268" s="117" t="s">
        <v>1579</v>
      </c>
      <c r="B268" s="118"/>
      <c r="C268" s="118"/>
      <c r="D268" s="118"/>
      <c r="E268" s="118"/>
      <c r="F268" s="118"/>
      <c r="G268" s="118"/>
      <c r="H268" s="118"/>
      <c r="I268" s="118"/>
      <c r="J268" s="118"/>
    </row>
    <row r="269" spans="1:10" ht="30" customHeight="1" x14ac:dyDescent="0.25">
      <c r="A269" s="59"/>
      <c r="B269" s="39" t="s">
        <v>2</v>
      </c>
      <c r="C269" s="4" t="s">
        <v>48</v>
      </c>
      <c r="D269" s="4" t="s">
        <v>49</v>
      </c>
      <c r="E269" s="39" t="s">
        <v>9</v>
      </c>
      <c r="F269" s="39" t="s">
        <v>10</v>
      </c>
      <c r="G269" s="4" t="s">
        <v>11</v>
      </c>
      <c r="H269" s="4" t="s">
        <v>17</v>
      </c>
      <c r="I269" s="4" t="s">
        <v>12</v>
      </c>
      <c r="J269" s="4" t="s">
        <v>18</v>
      </c>
    </row>
    <row r="270" spans="1:10" ht="24.95" customHeight="1" x14ac:dyDescent="0.25">
      <c r="A270" s="124"/>
      <c r="B270" s="39" t="s">
        <v>1546</v>
      </c>
      <c r="C270" s="24" t="s">
        <v>103</v>
      </c>
      <c r="D270" s="24" t="s">
        <v>54</v>
      </c>
      <c r="E270" s="59" t="s">
        <v>31</v>
      </c>
      <c r="F270" s="24" t="s">
        <v>13</v>
      </c>
      <c r="G270" s="59" t="s">
        <v>135</v>
      </c>
      <c r="H270" s="9">
        <f>CEILING(5270*USD,10)</f>
        <v>340660</v>
      </c>
      <c r="I270" s="92" t="s">
        <v>1694</v>
      </c>
      <c r="J270" s="113" t="s">
        <v>1695</v>
      </c>
    </row>
    <row r="271" spans="1:10" ht="24.95" customHeight="1" x14ac:dyDescent="0.25">
      <c r="A271" s="124"/>
      <c r="B271" s="39" t="s">
        <v>1547</v>
      </c>
      <c r="C271" s="21" t="s">
        <v>105</v>
      </c>
      <c r="D271" s="21" t="s">
        <v>55</v>
      </c>
      <c r="E271" s="59" t="s">
        <v>31</v>
      </c>
      <c r="F271" s="24" t="s">
        <v>13</v>
      </c>
      <c r="G271" s="59" t="s">
        <v>149</v>
      </c>
      <c r="H271" s="9">
        <f>CEILING(4680*USD,10)</f>
        <v>302520</v>
      </c>
      <c r="I271" s="92" t="s">
        <v>1694</v>
      </c>
      <c r="J271" s="113" t="s">
        <v>1695</v>
      </c>
    </row>
    <row r="272" spans="1:10" ht="24.95" customHeight="1" x14ac:dyDescent="0.25">
      <c r="A272" s="124"/>
      <c r="B272" s="39" t="s">
        <v>1548</v>
      </c>
      <c r="C272" s="21" t="s">
        <v>107</v>
      </c>
      <c r="D272" s="21" t="s">
        <v>55</v>
      </c>
      <c r="E272" s="59" t="s">
        <v>31</v>
      </c>
      <c r="F272" s="24" t="s">
        <v>13</v>
      </c>
      <c r="G272" s="59" t="s">
        <v>149</v>
      </c>
      <c r="H272" s="9">
        <f>CEILING(5020*USD,10)</f>
        <v>324500</v>
      </c>
      <c r="I272" s="92" t="s">
        <v>1694</v>
      </c>
      <c r="J272" s="113" t="s">
        <v>1695</v>
      </c>
    </row>
    <row r="273" spans="1:10" ht="24.95" customHeight="1" x14ac:dyDescent="0.25">
      <c r="A273" s="124"/>
      <c r="B273" s="39" t="s">
        <v>1549</v>
      </c>
      <c r="C273" s="21" t="s">
        <v>68</v>
      </c>
      <c r="D273" s="21" t="s">
        <v>56</v>
      </c>
      <c r="E273" s="59" t="s">
        <v>31</v>
      </c>
      <c r="F273" s="24" t="s">
        <v>13</v>
      </c>
      <c r="G273" s="59" t="s">
        <v>149</v>
      </c>
      <c r="H273" s="9">
        <f>CEILING(4680*USD,10)</f>
        <v>302520</v>
      </c>
      <c r="I273" s="92" t="s">
        <v>1694</v>
      </c>
      <c r="J273" s="113" t="s">
        <v>1695</v>
      </c>
    </row>
    <row r="274" spans="1:10" ht="24.95" customHeight="1" x14ac:dyDescent="0.25">
      <c r="A274" s="124"/>
      <c r="B274" s="39" t="s">
        <v>1550</v>
      </c>
      <c r="C274" s="21" t="s">
        <v>184</v>
      </c>
      <c r="D274" s="21" t="s">
        <v>56</v>
      </c>
      <c r="E274" s="59" t="s">
        <v>31</v>
      </c>
      <c r="F274" s="24" t="s">
        <v>13</v>
      </c>
      <c r="G274" s="59" t="s">
        <v>1566</v>
      </c>
      <c r="H274" s="9">
        <f>CEILING(5980*USD,10)</f>
        <v>386550</v>
      </c>
      <c r="I274" s="92" t="s">
        <v>1694</v>
      </c>
      <c r="J274" s="113" t="s">
        <v>1695</v>
      </c>
    </row>
    <row r="275" spans="1:10" ht="24.95" customHeight="1" x14ac:dyDescent="0.25">
      <c r="A275" s="124"/>
      <c r="B275" s="39" t="s">
        <v>1551</v>
      </c>
      <c r="C275" s="21" t="s">
        <v>72</v>
      </c>
      <c r="D275" s="21" t="s">
        <v>56</v>
      </c>
      <c r="E275" s="59" t="s">
        <v>31</v>
      </c>
      <c r="F275" s="24" t="s">
        <v>13</v>
      </c>
      <c r="G275" s="59" t="s">
        <v>1567</v>
      </c>
      <c r="H275" s="9">
        <f>CEILING(6240*USD,10)</f>
        <v>403360</v>
      </c>
      <c r="I275" s="92" t="s">
        <v>1694</v>
      </c>
      <c r="J275" s="113" t="s">
        <v>1695</v>
      </c>
    </row>
    <row r="276" spans="1:10" ht="24.95" customHeight="1" x14ac:dyDescent="0.25">
      <c r="A276" s="124"/>
      <c r="B276" s="39" t="s">
        <v>1552</v>
      </c>
      <c r="C276" s="21" t="s">
        <v>602</v>
      </c>
      <c r="D276" s="21" t="s">
        <v>57</v>
      </c>
      <c r="E276" s="59" t="s">
        <v>31</v>
      </c>
      <c r="F276" s="24" t="s">
        <v>13</v>
      </c>
      <c r="G276" s="59" t="s">
        <v>1567</v>
      </c>
      <c r="H276" s="9">
        <f>CEILING(6240*USD,10)</f>
        <v>403360</v>
      </c>
      <c r="I276" s="92" t="s">
        <v>1694</v>
      </c>
      <c r="J276" s="113" t="s">
        <v>1695</v>
      </c>
    </row>
    <row r="277" spans="1:10" ht="24.95" customHeight="1" x14ac:dyDescent="0.25">
      <c r="A277" s="124"/>
      <c r="B277" s="39" t="s">
        <v>1553</v>
      </c>
      <c r="C277" s="21" t="s">
        <v>790</v>
      </c>
      <c r="D277" s="21" t="s">
        <v>57</v>
      </c>
      <c r="E277" s="59" t="s">
        <v>31</v>
      </c>
      <c r="F277" s="24" t="s">
        <v>13</v>
      </c>
      <c r="G277" s="59" t="s">
        <v>1567</v>
      </c>
      <c r="H277" s="9">
        <f>CEILING(6500*USD,10)</f>
        <v>420160</v>
      </c>
      <c r="I277" s="92" t="s">
        <v>1694</v>
      </c>
      <c r="J277" s="113" t="s">
        <v>1695</v>
      </c>
    </row>
    <row r="278" spans="1:10" ht="24.95" customHeight="1" x14ac:dyDescent="0.25">
      <c r="A278" s="124"/>
      <c r="B278" s="39" t="s">
        <v>1554</v>
      </c>
      <c r="C278" s="21" t="s">
        <v>589</v>
      </c>
      <c r="D278" s="21" t="s">
        <v>57</v>
      </c>
      <c r="E278" s="59" t="s">
        <v>31</v>
      </c>
      <c r="F278" s="24" t="s">
        <v>13</v>
      </c>
      <c r="G278" s="59" t="s">
        <v>1568</v>
      </c>
      <c r="H278" s="9">
        <f>CEILING(11220*USD,10)</f>
        <v>725270</v>
      </c>
      <c r="I278" s="92" t="s">
        <v>1694</v>
      </c>
      <c r="J278" s="113" t="s">
        <v>1695</v>
      </c>
    </row>
    <row r="279" spans="1:10" ht="24.95" customHeight="1" x14ac:dyDescent="0.25">
      <c r="A279" s="124"/>
      <c r="B279" s="39" t="s">
        <v>1555</v>
      </c>
      <c r="C279" s="21" t="s">
        <v>628</v>
      </c>
      <c r="D279" s="21" t="s">
        <v>57</v>
      </c>
      <c r="E279" s="59" t="s">
        <v>31</v>
      </c>
      <c r="F279" s="24" t="s">
        <v>13</v>
      </c>
      <c r="G279" s="59" t="s">
        <v>1568</v>
      </c>
      <c r="H279" s="9">
        <f>CEILING(11820*USD,10)</f>
        <v>764050</v>
      </c>
      <c r="I279" s="92" t="s">
        <v>1694</v>
      </c>
      <c r="J279" s="113" t="s">
        <v>1695</v>
      </c>
    </row>
    <row r="280" spans="1:10" ht="24.95" customHeight="1" x14ac:dyDescent="0.25">
      <c r="A280" s="124"/>
      <c r="B280" s="39" t="s">
        <v>1556</v>
      </c>
      <c r="C280" s="21" t="s">
        <v>103</v>
      </c>
      <c r="D280" s="24" t="s">
        <v>54</v>
      </c>
      <c r="E280" s="59" t="s">
        <v>31</v>
      </c>
      <c r="F280" s="24" t="s">
        <v>13</v>
      </c>
      <c r="G280" s="59" t="s">
        <v>135</v>
      </c>
      <c r="H280" s="9">
        <f>CEILING(5800*USD,10)</f>
        <v>374920</v>
      </c>
      <c r="I280" s="92" t="s">
        <v>1694</v>
      </c>
      <c r="J280" s="113" t="s">
        <v>1695</v>
      </c>
    </row>
    <row r="281" spans="1:10" ht="24.95" customHeight="1" x14ac:dyDescent="0.25">
      <c r="A281" s="124"/>
      <c r="B281" s="39" t="s">
        <v>1557</v>
      </c>
      <c r="C281" s="21" t="s">
        <v>105</v>
      </c>
      <c r="D281" s="21" t="s">
        <v>55</v>
      </c>
      <c r="E281" s="59" t="s">
        <v>31</v>
      </c>
      <c r="F281" s="24" t="s">
        <v>13</v>
      </c>
      <c r="G281" s="59" t="s">
        <v>149</v>
      </c>
      <c r="H281" s="9">
        <f>CEILING(5200*USD,10)</f>
        <v>336130</v>
      </c>
      <c r="I281" s="92" t="s">
        <v>1694</v>
      </c>
      <c r="J281" s="113" t="s">
        <v>1695</v>
      </c>
    </row>
    <row r="282" spans="1:10" ht="24.95" customHeight="1" x14ac:dyDescent="0.25">
      <c r="A282" s="124"/>
      <c r="B282" s="39" t="s">
        <v>1558</v>
      </c>
      <c r="C282" s="21" t="s">
        <v>107</v>
      </c>
      <c r="D282" s="21" t="s">
        <v>55</v>
      </c>
      <c r="E282" s="59" t="s">
        <v>31</v>
      </c>
      <c r="F282" s="24" t="s">
        <v>13</v>
      </c>
      <c r="G282" s="59" t="s">
        <v>149</v>
      </c>
      <c r="H282" s="9">
        <f>CEILING(5540*USD,10)</f>
        <v>358110</v>
      </c>
      <c r="I282" s="92" t="s">
        <v>1694</v>
      </c>
      <c r="J282" s="113" t="s">
        <v>1695</v>
      </c>
    </row>
    <row r="283" spans="1:10" ht="24.95" customHeight="1" x14ac:dyDescent="0.25">
      <c r="A283" s="124"/>
      <c r="B283" s="39" t="s">
        <v>1559</v>
      </c>
      <c r="C283" s="21" t="s">
        <v>68</v>
      </c>
      <c r="D283" s="21" t="s">
        <v>56</v>
      </c>
      <c r="E283" s="59" t="s">
        <v>31</v>
      </c>
      <c r="F283" s="24" t="s">
        <v>13</v>
      </c>
      <c r="G283" s="59" t="s">
        <v>149</v>
      </c>
      <c r="H283" s="9">
        <f>CEILING(5200*USD,10)</f>
        <v>336130</v>
      </c>
      <c r="I283" s="92" t="s">
        <v>1694</v>
      </c>
      <c r="J283" s="113" t="s">
        <v>1695</v>
      </c>
    </row>
    <row r="284" spans="1:10" ht="24.95" customHeight="1" x14ac:dyDescent="0.25">
      <c r="A284" s="124"/>
      <c r="B284" s="39" t="s">
        <v>1560</v>
      </c>
      <c r="C284" s="21" t="s">
        <v>184</v>
      </c>
      <c r="D284" s="21" t="s">
        <v>56</v>
      </c>
      <c r="E284" s="59" t="s">
        <v>31</v>
      </c>
      <c r="F284" s="24" t="s">
        <v>13</v>
      </c>
      <c r="G284" s="59" t="s">
        <v>1566</v>
      </c>
      <c r="H284" s="9">
        <f>CEILING(6500*USD,10)</f>
        <v>420160</v>
      </c>
      <c r="I284" s="92" t="s">
        <v>1694</v>
      </c>
      <c r="J284" s="113" t="s">
        <v>1695</v>
      </c>
    </row>
    <row r="285" spans="1:10" ht="24.95" customHeight="1" x14ac:dyDescent="0.25">
      <c r="A285" s="124"/>
      <c r="B285" s="39" t="s">
        <v>1561</v>
      </c>
      <c r="C285" s="21" t="s">
        <v>72</v>
      </c>
      <c r="D285" s="21" t="s">
        <v>56</v>
      </c>
      <c r="E285" s="59" t="s">
        <v>31</v>
      </c>
      <c r="F285" s="24" t="s">
        <v>13</v>
      </c>
      <c r="G285" s="59" t="s">
        <v>1567</v>
      </c>
      <c r="H285" s="9">
        <f>CEILING(6750*USD,10)</f>
        <v>436320</v>
      </c>
      <c r="I285" s="92" t="s">
        <v>1694</v>
      </c>
      <c r="J285" s="113" t="s">
        <v>1695</v>
      </c>
    </row>
    <row r="286" spans="1:10" ht="24.95" customHeight="1" x14ac:dyDescent="0.25">
      <c r="A286" s="124"/>
      <c r="B286" s="39" t="s">
        <v>1562</v>
      </c>
      <c r="C286" s="21" t="s">
        <v>602</v>
      </c>
      <c r="D286" s="21" t="s">
        <v>57</v>
      </c>
      <c r="E286" s="59" t="s">
        <v>31</v>
      </c>
      <c r="F286" s="24" t="s">
        <v>13</v>
      </c>
      <c r="G286" s="59" t="s">
        <v>1567</v>
      </c>
      <c r="H286" s="9">
        <f>CEILING(6750*USD,10)</f>
        <v>436320</v>
      </c>
      <c r="I286" s="92" t="s">
        <v>1694</v>
      </c>
      <c r="J286" s="113" t="s">
        <v>1695</v>
      </c>
    </row>
    <row r="287" spans="1:10" ht="24.95" customHeight="1" x14ac:dyDescent="0.25">
      <c r="A287" s="124"/>
      <c r="B287" s="39" t="s">
        <v>1563</v>
      </c>
      <c r="C287" s="21" t="s">
        <v>790</v>
      </c>
      <c r="D287" s="21" t="s">
        <v>57</v>
      </c>
      <c r="E287" s="59" t="s">
        <v>31</v>
      </c>
      <c r="F287" s="24" t="s">
        <v>13</v>
      </c>
      <c r="G287" s="59" t="s">
        <v>1567</v>
      </c>
      <c r="H287" s="9">
        <f>CEILING(7020*USD,10)</f>
        <v>453780</v>
      </c>
      <c r="I287" s="92" t="s">
        <v>1694</v>
      </c>
      <c r="J287" s="113" t="s">
        <v>1695</v>
      </c>
    </row>
    <row r="288" spans="1:10" ht="24.95" customHeight="1" x14ac:dyDescent="0.25">
      <c r="A288" s="124"/>
      <c r="B288" s="39" t="s">
        <v>1564</v>
      </c>
      <c r="C288" s="21" t="s">
        <v>589</v>
      </c>
      <c r="D288" s="21" t="s">
        <v>57</v>
      </c>
      <c r="E288" s="59" t="s">
        <v>31</v>
      </c>
      <c r="F288" s="24" t="s">
        <v>13</v>
      </c>
      <c r="G288" s="59" t="s">
        <v>1568</v>
      </c>
      <c r="H288" s="9">
        <f>CEILING(11800*USD,10)</f>
        <v>762760</v>
      </c>
      <c r="I288" s="92" t="s">
        <v>1694</v>
      </c>
      <c r="J288" s="113" t="s">
        <v>1695</v>
      </c>
    </row>
    <row r="289" spans="1:10" ht="24.95" customHeight="1" x14ac:dyDescent="0.25">
      <c r="A289" s="124"/>
      <c r="B289" s="39" t="s">
        <v>1565</v>
      </c>
      <c r="C289" s="21" t="s">
        <v>628</v>
      </c>
      <c r="D289" s="21" t="s">
        <v>57</v>
      </c>
      <c r="E289" s="59" t="s">
        <v>31</v>
      </c>
      <c r="F289" s="24" t="s">
        <v>13</v>
      </c>
      <c r="G289" s="59" t="s">
        <v>1568</v>
      </c>
      <c r="H289" s="9">
        <f>CEILING(12420*USD,10)</f>
        <v>802830</v>
      </c>
      <c r="I289" s="92" t="s">
        <v>1694</v>
      </c>
      <c r="J289" s="113" t="s">
        <v>1695</v>
      </c>
    </row>
    <row r="290" spans="1:10" ht="20.100000000000001" customHeight="1" x14ac:dyDescent="0.25">
      <c r="A290" s="139" t="s">
        <v>74</v>
      </c>
      <c r="B290" s="139"/>
      <c r="C290" s="139"/>
      <c r="D290" s="139"/>
      <c r="E290" s="139"/>
      <c r="F290" s="139"/>
      <c r="G290" s="139"/>
      <c r="H290" s="139"/>
      <c r="I290" s="139"/>
      <c r="J290" s="139"/>
    </row>
    <row r="291" spans="1:10" ht="20.100000000000001" customHeight="1" x14ac:dyDescent="0.25">
      <c r="A291" s="135" t="s">
        <v>1053</v>
      </c>
      <c r="B291" s="136"/>
      <c r="C291" s="136"/>
      <c r="D291" s="136"/>
      <c r="E291" s="136"/>
      <c r="F291" s="136"/>
      <c r="G291" s="137"/>
      <c r="H291" s="9">
        <v>1630</v>
      </c>
      <c r="I291" s="8">
        <v>0</v>
      </c>
      <c r="J291" s="9">
        <f>H291</f>
        <v>1630</v>
      </c>
    </row>
    <row r="292" spans="1:10" ht="20.100000000000001" customHeight="1" x14ac:dyDescent="0.25">
      <c r="A292" s="135" t="s">
        <v>1569</v>
      </c>
      <c r="B292" s="136"/>
      <c r="C292" s="136"/>
      <c r="D292" s="136"/>
      <c r="E292" s="136"/>
      <c r="F292" s="136"/>
      <c r="G292" s="137"/>
      <c r="H292" s="9">
        <f>CEILING(1220*USD,10)</f>
        <v>78870</v>
      </c>
      <c r="I292" s="8">
        <v>0</v>
      </c>
      <c r="J292" s="9">
        <f t="shared" ref="J292:J303" si="20">H292</f>
        <v>78870</v>
      </c>
    </row>
    <row r="293" spans="1:10" ht="20.100000000000001" customHeight="1" x14ac:dyDescent="0.25">
      <c r="A293" s="135" t="s">
        <v>1570</v>
      </c>
      <c r="B293" s="136"/>
      <c r="C293" s="136"/>
      <c r="D293" s="136"/>
      <c r="E293" s="136"/>
      <c r="F293" s="136"/>
      <c r="G293" s="137"/>
      <c r="H293" s="9">
        <f>CEILING(275*USD,10)</f>
        <v>17780</v>
      </c>
      <c r="I293" s="8">
        <v>0</v>
      </c>
      <c r="J293" s="9">
        <f t="shared" si="20"/>
        <v>17780</v>
      </c>
    </row>
    <row r="294" spans="1:10" ht="20.100000000000001" customHeight="1" x14ac:dyDescent="0.25">
      <c r="A294" s="135" t="s">
        <v>1571</v>
      </c>
      <c r="B294" s="136"/>
      <c r="C294" s="136"/>
      <c r="D294" s="136"/>
      <c r="E294" s="136"/>
      <c r="F294" s="136"/>
      <c r="G294" s="137"/>
      <c r="H294" s="9">
        <f>CEILING(1330*USD,10)</f>
        <v>85980</v>
      </c>
      <c r="I294" s="8">
        <v>0</v>
      </c>
      <c r="J294" s="9">
        <f t="shared" si="20"/>
        <v>85980</v>
      </c>
    </row>
    <row r="295" spans="1:10" ht="20.100000000000001" customHeight="1" x14ac:dyDescent="0.25">
      <c r="A295" s="135" t="s">
        <v>1572</v>
      </c>
      <c r="B295" s="136"/>
      <c r="C295" s="136"/>
      <c r="D295" s="136"/>
      <c r="E295" s="136"/>
      <c r="F295" s="136"/>
      <c r="G295" s="137"/>
      <c r="H295" s="9">
        <f>CEILING(1360*USD,10)</f>
        <v>87920</v>
      </c>
      <c r="I295" s="8">
        <v>0</v>
      </c>
      <c r="J295" s="9">
        <f t="shared" si="20"/>
        <v>87920</v>
      </c>
    </row>
    <row r="296" spans="1:10" ht="20.100000000000001" customHeight="1" x14ac:dyDescent="0.25">
      <c r="A296" s="135" t="s">
        <v>1573</v>
      </c>
      <c r="B296" s="136"/>
      <c r="C296" s="136"/>
      <c r="D296" s="136"/>
      <c r="E296" s="136"/>
      <c r="F296" s="136"/>
      <c r="G296" s="137"/>
      <c r="H296" s="9">
        <f>CEILING(700*USD,10)</f>
        <v>45250</v>
      </c>
      <c r="I296" s="8">
        <v>0</v>
      </c>
      <c r="J296" s="9">
        <f t="shared" si="20"/>
        <v>45250</v>
      </c>
    </row>
    <row r="297" spans="1:10" ht="20.100000000000001" customHeight="1" x14ac:dyDescent="0.25">
      <c r="A297" s="135" t="s">
        <v>1574</v>
      </c>
      <c r="B297" s="136"/>
      <c r="C297" s="136"/>
      <c r="D297" s="136"/>
      <c r="E297" s="136"/>
      <c r="F297" s="136"/>
      <c r="G297" s="137"/>
      <c r="H297" s="9">
        <f>CEILING(1030*USD,10)</f>
        <v>66580</v>
      </c>
      <c r="I297" s="8">
        <v>0</v>
      </c>
      <c r="J297" s="9">
        <f t="shared" si="20"/>
        <v>66580</v>
      </c>
    </row>
    <row r="298" spans="1:10" ht="20.100000000000001" customHeight="1" x14ac:dyDescent="0.25">
      <c r="A298" s="135" t="s">
        <v>1291</v>
      </c>
      <c r="B298" s="136"/>
      <c r="C298" s="136"/>
      <c r="D298" s="136"/>
      <c r="E298" s="136"/>
      <c r="F298" s="136"/>
      <c r="G298" s="137"/>
      <c r="H298" s="9">
        <v>1220</v>
      </c>
      <c r="I298" s="8">
        <v>0</v>
      </c>
      <c r="J298" s="9">
        <f t="shared" si="20"/>
        <v>1220</v>
      </c>
    </row>
    <row r="299" spans="1:10" ht="20.100000000000001" customHeight="1" x14ac:dyDescent="0.25">
      <c r="A299" s="135" t="s">
        <v>1575</v>
      </c>
      <c r="B299" s="136"/>
      <c r="C299" s="136"/>
      <c r="D299" s="136"/>
      <c r="E299" s="136"/>
      <c r="F299" s="136"/>
      <c r="G299" s="137"/>
      <c r="H299" s="9">
        <f>CEILING(90*USD,10)</f>
        <v>5820</v>
      </c>
      <c r="I299" s="8">
        <v>0</v>
      </c>
      <c r="J299" s="9">
        <f t="shared" si="20"/>
        <v>5820</v>
      </c>
    </row>
    <row r="300" spans="1:10" ht="20.100000000000001" customHeight="1" x14ac:dyDescent="0.25">
      <c r="A300" s="138" t="s">
        <v>1576</v>
      </c>
      <c r="B300" s="138"/>
      <c r="C300" s="138"/>
      <c r="D300" s="138"/>
      <c r="E300" s="138"/>
      <c r="F300" s="138"/>
      <c r="G300" s="138"/>
      <c r="H300" s="9">
        <f>CEILING(1090*USD,10)</f>
        <v>70460</v>
      </c>
      <c r="I300" s="8">
        <v>0</v>
      </c>
      <c r="J300" s="9">
        <f t="shared" si="20"/>
        <v>70460</v>
      </c>
    </row>
    <row r="301" spans="1:10" ht="20.100000000000001" customHeight="1" x14ac:dyDescent="0.25">
      <c r="A301" s="138" t="s">
        <v>1577</v>
      </c>
      <c r="B301" s="138"/>
      <c r="C301" s="138"/>
      <c r="D301" s="138"/>
      <c r="E301" s="138"/>
      <c r="F301" s="138"/>
      <c r="G301" s="138"/>
      <c r="H301" s="9">
        <f>CEILING(1220*USD,10)</f>
        <v>78870</v>
      </c>
      <c r="I301" s="8">
        <v>0</v>
      </c>
      <c r="J301" s="9">
        <f t="shared" si="20"/>
        <v>78870</v>
      </c>
    </row>
    <row r="302" spans="1:10" ht="20.100000000000001" customHeight="1" x14ac:dyDescent="0.25">
      <c r="A302" s="138" t="s">
        <v>1578</v>
      </c>
      <c r="B302" s="138"/>
      <c r="C302" s="138"/>
      <c r="D302" s="138"/>
      <c r="E302" s="138"/>
      <c r="F302" s="138"/>
      <c r="G302" s="138"/>
      <c r="H302" s="9">
        <f>CEILING(1450*USD,10)</f>
        <v>93730</v>
      </c>
      <c r="I302" s="8">
        <v>0</v>
      </c>
      <c r="J302" s="9">
        <f t="shared" si="20"/>
        <v>93730</v>
      </c>
    </row>
    <row r="303" spans="1:10" ht="20.100000000000001" customHeight="1" x14ac:dyDescent="0.25">
      <c r="A303" s="135" t="s">
        <v>1292</v>
      </c>
      <c r="B303" s="136"/>
      <c r="C303" s="136"/>
      <c r="D303" s="136"/>
      <c r="E303" s="136"/>
      <c r="F303" s="136"/>
      <c r="G303" s="137"/>
      <c r="H303" s="9">
        <f>CEILING(670*USD,10)</f>
        <v>43310</v>
      </c>
      <c r="I303" s="8">
        <v>0</v>
      </c>
      <c r="J303" s="9">
        <f t="shared" si="20"/>
        <v>43310</v>
      </c>
    </row>
    <row r="304" spans="1:10" ht="20.100000000000001" customHeight="1" x14ac:dyDescent="0.25">
      <c r="A304" s="131"/>
      <c r="B304" s="131"/>
      <c r="C304" s="131"/>
      <c r="D304" s="131"/>
      <c r="E304" s="131"/>
      <c r="F304" s="131"/>
      <c r="G304" s="131"/>
      <c r="H304" s="131"/>
      <c r="I304" s="131"/>
      <c r="J304" s="131"/>
    </row>
    <row r="305" spans="1:10" ht="39.950000000000003" customHeight="1" x14ac:dyDescent="0.25">
      <c r="A305" s="117" t="s">
        <v>1883</v>
      </c>
      <c r="B305" s="118"/>
      <c r="C305" s="118"/>
      <c r="D305" s="118"/>
      <c r="E305" s="118"/>
      <c r="F305" s="118"/>
      <c r="G305" s="118"/>
      <c r="H305" s="118"/>
      <c r="I305" s="118"/>
      <c r="J305" s="118"/>
    </row>
    <row r="306" spans="1:10" ht="30" customHeight="1" x14ac:dyDescent="0.25">
      <c r="A306" s="5"/>
      <c r="B306" s="100" t="s">
        <v>2</v>
      </c>
      <c r="C306" s="112" t="s">
        <v>48</v>
      </c>
      <c r="D306" s="112" t="s">
        <v>49</v>
      </c>
      <c r="E306" s="100" t="s">
        <v>9</v>
      </c>
      <c r="F306" s="100" t="s">
        <v>10</v>
      </c>
      <c r="G306" s="112" t="s">
        <v>11</v>
      </c>
      <c r="H306" s="112" t="s">
        <v>17</v>
      </c>
      <c r="I306" s="112" t="s">
        <v>12</v>
      </c>
      <c r="J306" s="112" t="s">
        <v>18</v>
      </c>
    </row>
    <row r="307" spans="1:10" ht="21.95" customHeight="1" x14ac:dyDescent="0.25">
      <c r="A307" s="124"/>
      <c r="B307" s="20" t="s">
        <v>189</v>
      </c>
      <c r="C307" s="21" t="s">
        <v>182</v>
      </c>
      <c r="D307" s="21" t="s">
        <v>55</v>
      </c>
      <c r="E307" s="21" t="s">
        <v>31</v>
      </c>
      <c r="F307" s="21" t="s">
        <v>13</v>
      </c>
      <c r="G307" s="110" t="s">
        <v>188</v>
      </c>
      <c r="H307" s="91">
        <f>CEILING(6455*USD,10)</f>
        <v>417260</v>
      </c>
      <c r="I307" s="92" t="s">
        <v>1694</v>
      </c>
      <c r="J307" s="113" t="s">
        <v>1695</v>
      </c>
    </row>
    <row r="308" spans="1:10" ht="21.95" customHeight="1" x14ac:dyDescent="0.25">
      <c r="A308" s="124"/>
      <c r="B308" s="89" t="s">
        <v>190</v>
      </c>
      <c r="C308" s="84" t="s">
        <v>182</v>
      </c>
      <c r="D308" s="84" t="s">
        <v>55</v>
      </c>
      <c r="E308" s="84" t="s">
        <v>31</v>
      </c>
      <c r="F308" s="84" t="s">
        <v>13</v>
      </c>
      <c r="G308" s="78" t="s">
        <v>188</v>
      </c>
      <c r="H308" s="114">
        <f>CEILING(5320*USD,10)</f>
        <v>343890</v>
      </c>
      <c r="I308" s="115" t="s">
        <v>222</v>
      </c>
      <c r="J308" s="113" t="s">
        <v>222</v>
      </c>
    </row>
    <row r="309" spans="1:10" ht="21.95" customHeight="1" x14ac:dyDescent="0.25">
      <c r="A309" s="124"/>
      <c r="B309" s="89" t="s">
        <v>191</v>
      </c>
      <c r="C309" s="84" t="s">
        <v>183</v>
      </c>
      <c r="D309" s="84" t="s">
        <v>56</v>
      </c>
      <c r="E309" s="84" t="s">
        <v>31</v>
      </c>
      <c r="F309" s="84" t="s">
        <v>13</v>
      </c>
      <c r="G309" s="78" t="s">
        <v>209</v>
      </c>
      <c r="H309" s="114">
        <f>CEILING(5880*USD,10)</f>
        <v>380090</v>
      </c>
      <c r="I309" s="115" t="s">
        <v>222</v>
      </c>
      <c r="J309" s="113" t="s">
        <v>222</v>
      </c>
    </row>
    <row r="310" spans="1:10" ht="21.95" customHeight="1" x14ac:dyDescent="0.25">
      <c r="A310" s="124"/>
      <c r="B310" s="20" t="s">
        <v>192</v>
      </c>
      <c r="C310" s="21" t="s">
        <v>183</v>
      </c>
      <c r="D310" s="21" t="s">
        <v>56</v>
      </c>
      <c r="E310" s="21" t="s">
        <v>31</v>
      </c>
      <c r="F310" s="21" t="s">
        <v>13</v>
      </c>
      <c r="G310" s="110" t="s">
        <v>209</v>
      </c>
      <c r="H310" s="91">
        <f>CEILING(4980*USD,10)</f>
        <v>321910</v>
      </c>
      <c r="I310" s="92" t="s">
        <v>1694</v>
      </c>
      <c r="J310" s="113" t="s">
        <v>1695</v>
      </c>
    </row>
    <row r="311" spans="1:10" ht="21.95" customHeight="1" x14ac:dyDescent="0.25">
      <c r="A311" s="124"/>
      <c r="B311" s="20" t="s">
        <v>193</v>
      </c>
      <c r="C311" s="21" t="s">
        <v>109</v>
      </c>
      <c r="D311" s="21" t="s">
        <v>56</v>
      </c>
      <c r="E311" s="21" t="s">
        <v>31</v>
      </c>
      <c r="F311" s="21" t="s">
        <v>13</v>
      </c>
      <c r="G311" s="110" t="s">
        <v>209</v>
      </c>
      <c r="H311" s="91">
        <f>CEILING(6290*USD,10)</f>
        <v>406590</v>
      </c>
      <c r="I311" s="92" t="s">
        <v>1694</v>
      </c>
      <c r="J311" s="113" t="s">
        <v>1695</v>
      </c>
    </row>
    <row r="312" spans="1:10" ht="21.95" customHeight="1" x14ac:dyDescent="0.25">
      <c r="A312" s="124"/>
      <c r="B312" s="89" t="s">
        <v>194</v>
      </c>
      <c r="C312" s="84" t="s">
        <v>109</v>
      </c>
      <c r="D312" s="84" t="s">
        <v>56</v>
      </c>
      <c r="E312" s="84" t="s">
        <v>31</v>
      </c>
      <c r="F312" s="84" t="s">
        <v>13</v>
      </c>
      <c r="G312" s="78" t="s">
        <v>209</v>
      </c>
      <c r="H312" s="114">
        <f>CEILING(5160*USD,10)</f>
        <v>333550</v>
      </c>
      <c r="I312" s="115" t="s">
        <v>222</v>
      </c>
      <c r="J312" s="113" t="s">
        <v>222</v>
      </c>
    </row>
    <row r="313" spans="1:10" ht="21.95" customHeight="1" x14ac:dyDescent="0.25">
      <c r="A313" s="124"/>
      <c r="B313" s="89" t="s">
        <v>195</v>
      </c>
      <c r="C313" s="84" t="s">
        <v>184</v>
      </c>
      <c r="D313" s="84" t="s">
        <v>187</v>
      </c>
      <c r="E313" s="84" t="s">
        <v>31</v>
      </c>
      <c r="F313" s="84" t="s">
        <v>13</v>
      </c>
      <c r="G313" s="78" t="s">
        <v>210</v>
      </c>
      <c r="H313" s="114">
        <f>CEILING(7120*USD,10)</f>
        <v>460240</v>
      </c>
      <c r="I313" s="115" t="s">
        <v>222</v>
      </c>
      <c r="J313" s="113" t="s">
        <v>222</v>
      </c>
    </row>
    <row r="314" spans="1:10" ht="21.95" customHeight="1" x14ac:dyDescent="0.25">
      <c r="A314" s="124"/>
      <c r="B314" s="89" t="s">
        <v>196</v>
      </c>
      <c r="C314" s="84" t="s">
        <v>184</v>
      </c>
      <c r="D314" s="84" t="s">
        <v>187</v>
      </c>
      <c r="E314" s="84" t="s">
        <v>31</v>
      </c>
      <c r="F314" s="84" t="s">
        <v>13</v>
      </c>
      <c r="G314" s="78" t="s">
        <v>210</v>
      </c>
      <c r="H314" s="114">
        <f>CEILING(6020*USD,10)</f>
        <v>389140</v>
      </c>
      <c r="I314" s="115" t="s">
        <v>222</v>
      </c>
      <c r="J314" s="113" t="s">
        <v>222</v>
      </c>
    </row>
    <row r="315" spans="1:10" ht="21.95" customHeight="1" x14ac:dyDescent="0.25">
      <c r="A315" s="124"/>
      <c r="B315" s="20" t="s">
        <v>197</v>
      </c>
      <c r="C315" s="21" t="s">
        <v>72</v>
      </c>
      <c r="D315" s="21" t="s">
        <v>57</v>
      </c>
      <c r="E315" s="21" t="s">
        <v>31</v>
      </c>
      <c r="F315" s="21" t="s">
        <v>13</v>
      </c>
      <c r="G315" s="110" t="s">
        <v>210</v>
      </c>
      <c r="H315" s="91">
        <f>CEILING(8270*USD,10)</f>
        <v>534580</v>
      </c>
      <c r="I315" s="92" t="s">
        <v>1694</v>
      </c>
      <c r="J315" s="113" t="s">
        <v>1695</v>
      </c>
    </row>
    <row r="316" spans="1:10" ht="21.95" customHeight="1" x14ac:dyDescent="0.25">
      <c r="A316" s="124"/>
      <c r="B316" s="20" t="s">
        <v>198</v>
      </c>
      <c r="C316" s="21" t="s">
        <v>72</v>
      </c>
      <c r="D316" s="21" t="s">
        <v>57</v>
      </c>
      <c r="E316" s="21" t="s">
        <v>31</v>
      </c>
      <c r="F316" s="21" t="s">
        <v>13</v>
      </c>
      <c r="G316" s="110" t="s">
        <v>210</v>
      </c>
      <c r="H316" s="91">
        <f>CEILING(7140*USD,10)</f>
        <v>461530</v>
      </c>
      <c r="I316" s="92" t="s">
        <v>1694</v>
      </c>
      <c r="J316" s="113" t="s">
        <v>1695</v>
      </c>
    </row>
    <row r="317" spans="1:10" ht="21.95" customHeight="1" x14ac:dyDescent="0.25">
      <c r="A317" s="124"/>
      <c r="B317" s="20" t="s">
        <v>199</v>
      </c>
      <c r="C317" s="21" t="s">
        <v>185</v>
      </c>
      <c r="D317" s="21" t="s">
        <v>55</v>
      </c>
      <c r="E317" s="21" t="s">
        <v>31</v>
      </c>
      <c r="F317" s="21" t="s">
        <v>172</v>
      </c>
      <c r="G317" s="110" t="s">
        <v>135</v>
      </c>
      <c r="H317" s="91">
        <f>CEILING(6610*USD,10)</f>
        <v>427280</v>
      </c>
      <c r="I317" s="92" t="s">
        <v>1694</v>
      </c>
      <c r="J317" s="113" t="s">
        <v>1695</v>
      </c>
    </row>
    <row r="318" spans="1:10" ht="21.95" customHeight="1" x14ac:dyDescent="0.25">
      <c r="A318" s="124"/>
      <c r="B318" s="20" t="s">
        <v>200</v>
      </c>
      <c r="C318" s="21" t="s">
        <v>185</v>
      </c>
      <c r="D318" s="21" t="s">
        <v>55</v>
      </c>
      <c r="E318" s="21" t="s">
        <v>31</v>
      </c>
      <c r="F318" s="21" t="s">
        <v>172</v>
      </c>
      <c r="G318" s="110" t="s">
        <v>135</v>
      </c>
      <c r="H318" s="91">
        <f>CEILING(5580*USD,10)</f>
        <v>360700</v>
      </c>
      <c r="I318" s="92" t="s">
        <v>1694</v>
      </c>
      <c r="J318" s="113" t="s">
        <v>1695</v>
      </c>
    </row>
    <row r="319" spans="1:10" ht="21.95" customHeight="1" x14ac:dyDescent="0.25">
      <c r="A319" s="124"/>
      <c r="B319" s="20" t="s">
        <v>201</v>
      </c>
      <c r="C319" s="21" t="s">
        <v>186</v>
      </c>
      <c r="D319" s="21" t="s">
        <v>55</v>
      </c>
      <c r="E319" s="21" t="s">
        <v>31</v>
      </c>
      <c r="F319" s="21" t="s">
        <v>172</v>
      </c>
      <c r="G319" s="110" t="s">
        <v>135</v>
      </c>
      <c r="H319" s="91">
        <f>CEILING(6895*USD,10)</f>
        <v>445700</v>
      </c>
      <c r="I319" s="92" t="s">
        <v>1694</v>
      </c>
      <c r="J319" s="113" t="s">
        <v>1695</v>
      </c>
    </row>
    <row r="320" spans="1:10" ht="21.95" customHeight="1" x14ac:dyDescent="0.25">
      <c r="A320" s="124"/>
      <c r="B320" s="20" t="s">
        <v>202</v>
      </c>
      <c r="C320" s="21" t="s">
        <v>186</v>
      </c>
      <c r="D320" s="21" t="s">
        <v>55</v>
      </c>
      <c r="E320" s="21" t="s">
        <v>31</v>
      </c>
      <c r="F320" s="21" t="s">
        <v>172</v>
      </c>
      <c r="G320" s="110" t="s">
        <v>135</v>
      </c>
      <c r="H320" s="91">
        <f>CEILING(5865*USD,10)</f>
        <v>379120</v>
      </c>
      <c r="I320" s="92" t="s">
        <v>1694</v>
      </c>
      <c r="J320" s="113" t="s">
        <v>1695</v>
      </c>
    </row>
    <row r="321" spans="1:10" ht="21.95" customHeight="1" x14ac:dyDescent="0.25">
      <c r="A321" s="124"/>
      <c r="B321" s="89" t="s">
        <v>203</v>
      </c>
      <c r="C321" s="84" t="s">
        <v>65</v>
      </c>
      <c r="D321" s="84" t="s">
        <v>55</v>
      </c>
      <c r="E321" s="84" t="s">
        <v>31</v>
      </c>
      <c r="F321" s="84" t="s">
        <v>172</v>
      </c>
      <c r="G321" s="78" t="s">
        <v>209</v>
      </c>
      <c r="H321" s="114">
        <f>CEILING(7070*USD,10)</f>
        <v>457010</v>
      </c>
      <c r="I321" s="115" t="s">
        <v>222</v>
      </c>
      <c r="J321" s="113" t="s">
        <v>222</v>
      </c>
    </row>
    <row r="322" spans="1:10" ht="21.95" customHeight="1" x14ac:dyDescent="0.25">
      <c r="A322" s="124"/>
      <c r="B322" s="89" t="s">
        <v>204</v>
      </c>
      <c r="C322" s="84" t="s">
        <v>65</v>
      </c>
      <c r="D322" s="84" t="s">
        <v>55</v>
      </c>
      <c r="E322" s="84" t="s">
        <v>31</v>
      </c>
      <c r="F322" s="84" t="s">
        <v>172</v>
      </c>
      <c r="G322" s="78" t="s">
        <v>209</v>
      </c>
      <c r="H322" s="114">
        <f>CEILING(6060*USD,10)</f>
        <v>391720</v>
      </c>
      <c r="I322" s="115" t="s">
        <v>222</v>
      </c>
      <c r="J322" s="113" t="s">
        <v>222</v>
      </c>
    </row>
    <row r="323" spans="1:10" ht="21.95" customHeight="1" x14ac:dyDescent="0.25">
      <c r="A323" s="124"/>
      <c r="B323" s="20" t="s">
        <v>205</v>
      </c>
      <c r="C323" s="21" t="s">
        <v>67</v>
      </c>
      <c r="D323" s="21" t="s">
        <v>56</v>
      </c>
      <c r="E323" s="21" t="s">
        <v>31</v>
      </c>
      <c r="F323" s="21" t="s">
        <v>172</v>
      </c>
      <c r="G323" s="110" t="s">
        <v>209</v>
      </c>
      <c r="H323" s="91">
        <f>CEILING(6610*USD,10)</f>
        <v>427280</v>
      </c>
      <c r="I323" s="92" t="s">
        <v>1694</v>
      </c>
      <c r="J323" s="113" t="s">
        <v>1695</v>
      </c>
    </row>
    <row r="324" spans="1:10" ht="21.95" customHeight="1" x14ac:dyDescent="0.25">
      <c r="A324" s="124"/>
      <c r="B324" s="20" t="s">
        <v>206</v>
      </c>
      <c r="C324" s="21" t="s">
        <v>67</v>
      </c>
      <c r="D324" s="21" t="s">
        <v>56</v>
      </c>
      <c r="E324" s="21" t="s">
        <v>31</v>
      </c>
      <c r="F324" s="21" t="s">
        <v>172</v>
      </c>
      <c r="G324" s="110" t="s">
        <v>209</v>
      </c>
      <c r="H324" s="91">
        <f>CEILING(5580*USD,10)</f>
        <v>360700</v>
      </c>
      <c r="I324" s="92" t="s">
        <v>1694</v>
      </c>
      <c r="J324" s="113" t="s">
        <v>1695</v>
      </c>
    </row>
    <row r="325" spans="1:10" ht="21.95" customHeight="1" x14ac:dyDescent="0.25">
      <c r="A325" s="124"/>
      <c r="B325" s="20" t="s">
        <v>207</v>
      </c>
      <c r="C325" s="21" t="s">
        <v>184</v>
      </c>
      <c r="D325" s="21" t="s">
        <v>57</v>
      </c>
      <c r="E325" s="21" t="s">
        <v>31</v>
      </c>
      <c r="F325" s="21" t="s">
        <v>172</v>
      </c>
      <c r="G325" s="110" t="s">
        <v>211</v>
      </c>
      <c r="H325" s="91">
        <f>CEILING(8925*USD,10)</f>
        <v>576920</v>
      </c>
      <c r="I325" s="92" t="s">
        <v>1694</v>
      </c>
      <c r="J325" s="113" t="s">
        <v>1695</v>
      </c>
    </row>
    <row r="326" spans="1:10" ht="21.95" customHeight="1" x14ac:dyDescent="0.25">
      <c r="A326" s="124"/>
      <c r="B326" s="20" t="s">
        <v>208</v>
      </c>
      <c r="C326" s="21" t="s">
        <v>184</v>
      </c>
      <c r="D326" s="21" t="s">
        <v>57</v>
      </c>
      <c r="E326" s="21" t="s">
        <v>31</v>
      </c>
      <c r="F326" s="21" t="s">
        <v>172</v>
      </c>
      <c r="G326" s="110" t="s">
        <v>211</v>
      </c>
      <c r="H326" s="91">
        <f>CEILING(7800*USD,10)</f>
        <v>504200</v>
      </c>
      <c r="I326" s="92" t="s">
        <v>1694</v>
      </c>
      <c r="J326" s="113" t="s">
        <v>1695</v>
      </c>
    </row>
    <row r="327" spans="1:10" ht="20.100000000000001" customHeight="1" x14ac:dyDescent="0.25">
      <c r="A327" s="139" t="s">
        <v>74</v>
      </c>
      <c r="B327" s="139"/>
      <c r="C327" s="139"/>
      <c r="D327" s="139"/>
      <c r="E327" s="139"/>
      <c r="F327" s="139"/>
      <c r="G327" s="139"/>
      <c r="H327" s="139"/>
      <c r="I327" s="139"/>
      <c r="J327" s="139"/>
    </row>
    <row r="328" spans="1:10" ht="20.100000000000001" customHeight="1" x14ac:dyDescent="0.25">
      <c r="A328" s="135" t="s">
        <v>212</v>
      </c>
      <c r="B328" s="136"/>
      <c r="C328" s="136"/>
      <c r="D328" s="136"/>
      <c r="E328" s="136"/>
      <c r="F328" s="136"/>
      <c r="G328" s="137"/>
      <c r="H328" s="9">
        <f>CEILING(80*USD,10)</f>
        <v>5180</v>
      </c>
      <c r="I328" s="8">
        <v>0.1</v>
      </c>
      <c r="J328" s="9">
        <f>CEILING(H328*0.9,10)</f>
        <v>4670</v>
      </c>
    </row>
    <row r="329" spans="1:10" ht="20.100000000000001" customHeight="1" x14ac:dyDescent="0.25">
      <c r="A329" s="135" t="s">
        <v>213</v>
      </c>
      <c r="B329" s="136"/>
      <c r="C329" s="136"/>
      <c r="D329" s="136"/>
      <c r="E329" s="136"/>
      <c r="F329" s="136"/>
      <c r="G329" s="137"/>
      <c r="H329" s="9">
        <f>CEILING(45*USD,10)</f>
        <v>2910</v>
      </c>
      <c r="I329" s="8">
        <v>0.1</v>
      </c>
      <c r="J329" s="9">
        <f>CEILING(H329*0.9,10)</f>
        <v>2620</v>
      </c>
    </row>
    <row r="330" spans="1:10" ht="20.100000000000001" customHeight="1" x14ac:dyDescent="0.25">
      <c r="A330" s="135" t="s">
        <v>214</v>
      </c>
      <c r="B330" s="136"/>
      <c r="C330" s="136"/>
      <c r="D330" s="136"/>
      <c r="E330" s="136"/>
      <c r="F330" s="136"/>
      <c r="G330" s="137"/>
      <c r="H330" s="9">
        <f>CEILING(1640*USD,10)</f>
        <v>106010</v>
      </c>
      <c r="I330" s="8">
        <v>0.1</v>
      </c>
      <c r="J330" s="9">
        <f>CEILING(H330*0.9,10)</f>
        <v>95410</v>
      </c>
    </row>
    <row r="331" spans="1:10" ht="20.100000000000001" customHeight="1" x14ac:dyDescent="0.25">
      <c r="A331" s="135" t="s">
        <v>215</v>
      </c>
      <c r="B331" s="136"/>
      <c r="C331" s="136"/>
      <c r="D331" s="136"/>
      <c r="E331" s="136"/>
      <c r="F331" s="136"/>
      <c r="G331" s="137"/>
      <c r="H331" s="9">
        <f>CEILING(1730*USD,10)</f>
        <v>111830</v>
      </c>
      <c r="I331" s="8">
        <v>0.1</v>
      </c>
      <c r="J331" s="9">
        <f>CEILING(H331*0.9,10)</f>
        <v>100650</v>
      </c>
    </row>
    <row r="332" spans="1:10" ht="20.100000000000001" customHeight="1" x14ac:dyDescent="0.25">
      <c r="A332" s="131"/>
      <c r="B332" s="131"/>
      <c r="C332" s="131"/>
      <c r="D332" s="131"/>
      <c r="E332" s="131"/>
      <c r="F332" s="131"/>
      <c r="G332" s="131"/>
      <c r="H332" s="131"/>
      <c r="I332" s="131"/>
      <c r="J332" s="131"/>
    </row>
    <row r="333" spans="1:10" ht="60" customHeight="1" x14ac:dyDescent="0.25">
      <c r="A333" s="117" t="s">
        <v>1927</v>
      </c>
      <c r="B333" s="118"/>
      <c r="C333" s="118"/>
      <c r="D333" s="118"/>
      <c r="E333" s="118"/>
      <c r="F333" s="118"/>
      <c r="G333" s="118"/>
      <c r="H333" s="118"/>
      <c r="I333" s="118"/>
      <c r="J333" s="118"/>
    </row>
    <row r="334" spans="1:10" ht="30" customHeight="1" x14ac:dyDescent="0.25">
      <c r="A334" s="60"/>
      <c r="B334" s="39" t="s">
        <v>2</v>
      </c>
      <c r="C334" s="4" t="s">
        <v>48</v>
      </c>
      <c r="D334" s="4" t="s">
        <v>49</v>
      </c>
      <c r="E334" s="39" t="s">
        <v>9</v>
      </c>
      <c r="F334" s="39" t="s">
        <v>10</v>
      </c>
      <c r="G334" s="4" t="s">
        <v>11</v>
      </c>
      <c r="H334" s="4" t="s">
        <v>17</v>
      </c>
      <c r="I334" s="4" t="s">
        <v>12</v>
      </c>
      <c r="J334" s="4" t="s">
        <v>18</v>
      </c>
    </row>
    <row r="335" spans="1:10" ht="30" customHeight="1" x14ac:dyDescent="0.25">
      <c r="A335" s="132"/>
      <c r="B335" s="39" t="s">
        <v>1580</v>
      </c>
      <c r="C335" s="24" t="s">
        <v>103</v>
      </c>
      <c r="D335" s="24" t="s">
        <v>54</v>
      </c>
      <c r="E335" s="60" t="s">
        <v>31</v>
      </c>
      <c r="F335" s="24" t="s">
        <v>13</v>
      </c>
      <c r="G335" s="60" t="s">
        <v>135</v>
      </c>
      <c r="H335" s="9">
        <f>CEILING(9135*USD,10)</f>
        <v>590490</v>
      </c>
      <c r="I335" s="92" t="s">
        <v>1694</v>
      </c>
      <c r="J335" s="113" t="s">
        <v>1695</v>
      </c>
    </row>
    <row r="336" spans="1:10" ht="30" customHeight="1" x14ac:dyDescent="0.25">
      <c r="A336" s="133"/>
      <c r="B336" s="39" t="s">
        <v>1581</v>
      </c>
      <c r="C336" s="21" t="s">
        <v>105</v>
      </c>
      <c r="D336" s="21" t="s">
        <v>55</v>
      </c>
      <c r="E336" s="60" t="s">
        <v>31</v>
      </c>
      <c r="F336" s="24" t="s">
        <v>13</v>
      </c>
      <c r="G336" s="60" t="s">
        <v>149</v>
      </c>
      <c r="H336" s="9">
        <f>CEILING(8030*USD,10)</f>
        <v>519060</v>
      </c>
      <c r="I336" s="92" t="s">
        <v>1694</v>
      </c>
      <c r="J336" s="113" t="s">
        <v>1695</v>
      </c>
    </row>
    <row r="337" spans="1:10" ht="30" customHeight="1" x14ac:dyDescent="0.25">
      <c r="A337" s="133"/>
      <c r="B337" s="39" t="s">
        <v>1582</v>
      </c>
      <c r="C337" s="21" t="s">
        <v>107</v>
      </c>
      <c r="D337" s="21" t="s">
        <v>55</v>
      </c>
      <c r="E337" s="60" t="s">
        <v>31</v>
      </c>
      <c r="F337" s="24" t="s">
        <v>13</v>
      </c>
      <c r="G337" s="60" t="s">
        <v>149</v>
      </c>
      <c r="H337" s="9">
        <f>CEILING(8660*USD,10)</f>
        <v>559790</v>
      </c>
      <c r="I337" s="92" t="s">
        <v>1694</v>
      </c>
      <c r="J337" s="113" t="s">
        <v>1695</v>
      </c>
    </row>
    <row r="338" spans="1:10" ht="30" customHeight="1" x14ac:dyDescent="0.25">
      <c r="A338" s="133"/>
      <c r="B338" s="39" t="s">
        <v>1583</v>
      </c>
      <c r="C338" s="21" t="s">
        <v>68</v>
      </c>
      <c r="D338" s="21" t="s">
        <v>56</v>
      </c>
      <c r="E338" s="60" t="s">
        <v>31</v>
      </c>
      <c r="F338" s="24" t="s">
        <v>13</v>
      </c>
      <c r="G338" s="60" t="s">
        <v>149</v>
      </c>
      <c r="H338" s="9">
        <f>CEILING(8030*USD,10)</f>
        <v>519060</v>
      </c>
      <c r="I338" s="92" t="s">
        <v>1694</v>
      </c>
      <c r="J338" s="113" t="s">
        <v>1695</v>
      </c>
    </row>
    <row r="339" spans="1:10" ht="30" customHeight="1" x14ac:dyDescent="0.25">
      <c r="A339" s="133"/>
      <c r="B339" s="39" t="s">
        <v>1584</v>
      </c>
      <c r="C339" s="21" t="s">
        <v>184</v>
      </c>
      <c r="D339" s="21" t="s">
        <v>56</v>
      </c>
      <c r="E339" s="60" t="s">
        <v>31</v>
      </c>
      <c r="F339" s="24" t="s">
        <v>13</v>
      </c>
      <c r="G339" s="60" t="s">
        <v>1566</v>
      </c>
      <c r="H339" s="9">
        <f>CEILING(10710*USD,10)</f>
        <v>692300</v>
      </c>
      <c r="I339" s="92" t="s">
        <v>1694</v>
      </c>
      <c r="J339" s="113" t="s">
        <v>1695</v>
      </c>
    </row>
    <row r="340" spans="1:10" ht="30" customHeight="1" x14ac:dyDescent="0.25">
      <c r="A340" s="133"/>
      <c r="B340" s="39" t="s">
        <v>1585</v>
      </c>
      <c r="C340" s="21" t="s">
        <v>72</v>
      </c>
      <c r="D340" s="21" t="s">
        <v>56</v>
      </c>
      <c r="E340" s="60" t="s">
        <v>31</v>
      </c>
      <c r="F340" s="24" t="s">
        <v>13</v>
      </c>
      <c r="G340" s="60" t="s">
        <v>1567</v>
      </c>
      <c r="H340" s="9">
        <f>CEILING(11760*USD,10)</f>
        <v>760170</v>
      </c>
      <c r="I340" s="92" t="s">
        <v>1694</v>
      </c>
      <c r="J340" s="113" t="s">
        <v>1695</v>
      </c>
    </row>
    <row r="341" spans="1:10" ht="30" customHeight="1" x14ac:dyDescent="0.25">
      <c r="A341" s="133"/>
      <c r="B341" s="39" t="s">
        <v>1586</v>
      </c>
      <c r="C341" s="21" t="s">
        <v>602</v>
      </c>
      <c r="D341" s="21" t="s">
        <v>57</v>
      </c>
      <c r="E341" s="60" t="s">
        <v>31</v>
      </c>
      <c r="F341" s="24" t="s">
        <v>13</v>
      </c>
      <c r="G341" s="60" t="s">
        <v>1567</v>
      </c>
      <c r="H341" s="9">
        <f>CEILING(12410*USD,10)</f>
        <v>802190</v>
      </c>
      <c r="I341" s="92" t="s">
        <v>1694</v>
      </c>
      <c r="J341" s="113" t="s">
        <v>1695</v>
      </c>
    </row>
    <row r="342" spans="1:10" ht="30" customHeight="1" x14ac:dyDescent="0.25">
      <c r="A342" s="133"/>
      <c r="B342" s="39" t="s">
        <v>1587</v>
      </c>
      <c r="C342" s="21" t="s">
        <v>790</v>
      </c>
      <c r="D342" s="21" t="s">
        <v>57</v>
      </c>
      <c r="E342" s="60" t="s">
        <v>31</v>
      </c>
      <c r="F342" s="24" t="s">
        <v>13</v>
      </c>
      <c r="G342" s="60" t="s">
        <v>1567</v>
      </c>
      <c r="H342" s="9">
        <f>CEILING(13385*USD,10)</f>
        <v>865210</v>
      </c>
      <c r="I342" s="92" t="s">
        <v>1694</v>
      </c>
      <c r="J342" s="113" t="s">
        <v>1695</v>
      </c>
    </row>
    <row r="343" spans="1:10" ht="30" customHeight="1" x14ac:dyDescent="0.25">
      <c r="A343" s="133"/>
      <c r="B343" s="39" t="s">
        <v>1588</v>
      </c>
      <c r="C343" s="21" t="s">
        <v>589</v>
      </c>
      <c r="D343" s="21" t="s">
        <v>57</v>
      </c>
      <c r="E343" s="60" t="s">
        <v>31</v>
      </c>
      <c r="F343" s="24" t="s">
        <v>13</v>
      </c>
      <c r="G343" s="60" t="s">
        <v>1568</v>
      </c>
      <c r="H343" s="9">
        <f>CEILING(15960*USD,10)</f>
        <v>1031660</v>
      </c>
      <c r="I343" s="92" t="s">
        <v>1694</v>
      </c>
      <c r="J343" s="113" t="s">
        <v>1695</v>
      </c>
    </row>
    <row r="344" spans="1:10" ht="30" customHeight="1" x14ac:dyDescent="0.25">
      <c r="A344" s="133"/>
      <c r="B344" s="39" t="s">
        <v>1589</v>
      </c>
      <c r="C344" s="21" t="s">
        <v>628</v>
      </c>
      <c r="D344" s="21" t="s">
        <v>57</v>
      </c>
      <c r="E344" s="60" t="s">
        <v>31</v>
      </c>
      <c r="F344" s="24" t="s">
        <v>13</v>
      </c>
      <c r="G344" s="60" t="s">
        <v>1568</v>
      </c>
      <c r="H344" s="9">
        <f>CEILING(17480*USD,10)</f>
        <v>1129910</v>
      </c>
      <c r="I344" s="92" t="s">
        <v>1694</v>
      </c>
      <c r="J344" s="113" t="s">
        <v>1695</v>
      </c>
    </row>
    <row r="345" spans="1:10" ht="30" customHeight="1" x14ac:dyDescent="0.25">
      <c r="A345" s="133"/>
      <c r="B345" s="39" t="s">
        <v>1590</v>
      </c>
      <c r="C345" s="21" t="s">
        <v>103</v>
      </c>
      <c r="D345" s="24" t="s">
        <v>54</v>
      </c>
      <c r="E345" s="60" t="s">
        <v>31</v>
      </c>
      <c r="F345" s="24" t="s">
        <v>13</v>
      </c>
      <c r="G345" s="60" t="s">
        <v>135</v>
      </c>
      <c r="H345" s="9">
        <f>CEILING(9765*USD,10)</f>
        <v>631210</v>
      </c>
      <c r="I345" s="92" t="s">
        <v>1694</v>
      </c>
      <c r="J345" s="113" t="s">
        <v>1695</v>
      </c>
    </row>
    <row r="346" spans="1:10" ht="30" customHeight="1" x14ac:dyDescent="0.25">
      <c r="A346" s="133"/>
      <c r="B346" s="39" t="s">
        <v>1591</v>
      </c>
      <c r="C346" s="21" t="s">
        <v>105</v>
      </c>
      <c r="D346" s="21" t="s">
        <v>55</v>
      </c>
      <c r="E346" s="60" t="s">
        <v>31</v>
      </c>
      <c r="F346" s="24" t="s">
        <v>13</v>
      </c>
      <c r="G346" s="60" t="s">
        <v>149</v>
      </c>
      <c r="H346" s="9">
        <f>CEILING(8660*USD,10)</f>
        <v>559790</v>
      </c>
      <c r="I346" s="92" t="s">
        <v>1694</v>
      </c>
      <c r="J346" s="113" t="s">
        <v>1695</v>
      </c>
    </row>
    <row r="347" spans="1:10" ht="30" customHeight="1" x14ac:dyDescent="0.25">
      <c r="A347" s="133"/>
      <c r="B347" s="39" t="s">
        <v>1592</v>
      </c>
      <c r="C347" s="21" t="s">
        <v>107</v>
      </c>
      <c r="D347" s="21" t="s">
        <v>55</v>
      </c>
      <c r="E347" s="60" t="s">
        <v>31</v>
      </c>
      <c r="F347" s="24" t="s">
        <v>13</v>
      </c>
      <c r="G347" s="60" t="s">
        <v>149</v>
      </c>
      <c r="H347" s="9">
        <f>CEILING(9290*USD,10)</f>
        <v>600510</v>
      </c>
      <c r="I347" s="92" t="s">
        <v>1694</v>
      </c>
      <c r="J347" s="113" t="s">
        <v>1695</v>
      </c>
    </row>
    <row r="348" spans="1:10" ht="30" customHeight="1" x14ac:dyDescent="0.25">
      <c r="A348" s="133"/>
      <c r="B348" s="39" t="s">
        <v>1593</v>
      </c>
      <c r="C348" s="21" t="s">
        <v>68</v>
      </c>
      <c r="D348" s="21" t="s">
        <v>56</v>
      </c>
      <c r="E348" s="60" t="s">
        <v>31</v>
      </c>
      <c r="F348" s="24" t="s">
        <v>13</v>
      </c>
      <c r="G348" s="60" t="s">
        <v>149</v>
      </c>
      <c r="H348" s="9">
        <f>CEILING(8660*USD,10)</f>
        <v>559790</v>
      </c>
      <c r="I348" s="92" t="s">
        <v>1694</v>
      </c>
      <c r="J348" s="113" t="s">
        <v>1695</v>
      </c>
    </row>
    <row r="349" spans="1:10" ht="30" customHeight="1" x14ac:dyDescent="0.25">
      <c r="A349" s="133"/>
      <c r="B349" s="39" t="s">
        <v>1594</v>
      </c>
      <c r="C349" s="21" t="s">
        <v>184</v>
      </c>
      <c r="D349" s="21" t="s">
        <v>56</v>
      </c>
      <c r="E349" s="60" t="s">
        <v>31</v>
      </c>
      <c r="F349" s="24" t="s">
        <v>13</v>
      </c>
      <c r="G349" s="60" t="s">
        <v>1566</v>
      </c>
      <c r="H349" s="9">
        <f>CEILING(11340*USD,10)</f>
        <v>733020</v>
      </c>
      <c r="I349" s="92" t="s">
        <v>1694</v>
      </c>
      <c r="J349" s="113" t="s">
        <v>1695</v>
      </c>
    </row>
    <row r="350" spans="1:10" ht="30" customHeight="1" x14ac:dyDescent="0.25">
      <c r="A350" s="133"/>
      <c r="B350" s="39" t="s">
        <v>1595</v>
      </c>
      <c r="C350" s="21" t="s">
        <v>72</v>
      </c>
      <c r="D350" s="21" t="s">
        <v>56</v>
      </c>
      <c r="E350" s="60" t="s">
        <v>31</v>
      </c>
      <c r="F350" s="24" t="s">
        <v>13</v>
      </c>
      <c r="G350" s="60" t="s">
        <v>1567</v>
      </c>
      <c r="H350" s="9">
        <f>CEILING(12390*USD,10)</f>
        <v>800890</v>
      </c>
      <c r="I350" s="92" t="s">
        <v>1694</v>
      </c>
      <c r="J350" s="113" t="s">
        <v>1695</v>
      </c>
    </row>
    <row r="351" spans="1:10" ht="30" customHeight="1" x14ac:dyDescent="0.25">
      <c r="A351" s="133"/>
      <c r="B351" s="39" t="s">
        <v>1596</v>
      </c>
      <c r="C351" s="21" t="s">
        <v>602</v>
      </c>
      <c r="D351" s="21" t="s">
        <v>57</v>
      </c>
      <c r="E351" s="60" t="s">
        <v>31</v>
      </c>
      <c r="F351" s="24" t="s">
        <v>13</v>
      </c>
      <c r="G351" s="60" t="s">
        <v>1567</v>
      </c>
      <c r="H351" s="9">
        <f>CEILING(13060*USD,10)</f>
        <v>844200</v>
      </c>
      <c r="I351" s="92" t="s">
        <v>1694</v>
      </c>
      <c r="J351" s="113" t="s">
        <v>1695</v>
      </c>
    </row>
    <row r="352" spans="1:10" ht="30" customHeight="1" x14ac:dyDescent="0.25">
      <c r="A352" s="133"/>
      <c r="B352" s="39" t="s">
        <v>1597</v>
      </c>
      <c r="C352" s="21" t="s">
        <v>790</v>
      </c>
      <c r="D352" s="21" t="s">
        <v>57</v>
      </c>
      <c r="E352" s="60" t="s">
        <v>31</v>
      </c>
      <c r="F352" s="24" t="s">
        <v>13</v>
      </c>
      <c r="G352" s="60" t="s">
        <v>1567</v>
      </c>
      <c r="H352" s="9">
        <f>CEILING(14015*USD,10)</f>
        <v>905930</v>
      </c>
      <c r="I352" s="92" t="s">
        <v>1694</v>
      </c>
      <c r="J352" s="113" t="s">
        <v>1695</v>
      </c>
    </row>
    <row r="353" spans="1:10" ht="30" customHeight="1" x14ac:dyDescent="0.25">
      <c r="A353" s="133"/>
      <c r="B353" s="39" t="s">
        <v>1598</v>
      </c>
      <c r="C353" s="21" t="s">
        <v>589</v>
      </c>
      <c r="D353" s="21" t="s">
        <v>57</v>
      </c>
      <c r="E353" s="60" t="s">
        <v>31</v>
      </c>
      <c r="F353" s="24" t="s">
        <v>13</v>
      </c>
      <c r="G353" s="60" t="s">
        <v>1568</v>
      </c>
      <c r="H353" s="9">
        <f>CEILING(16555*USD,10)</f>
        <v>1070120</v>
      </c>
      <c r="I353" s="92" t="s">
        <v>1694</v>
      </c>
      <c r="J353" s="113" t="s">
        <v>1695</v>
      </c>
    </row>
    <row r="354" spans="1:10" ht="30" customHeight="1" x14ac:dyDescent="0.25">
      <c r="A354" s="133"/>
      <c r="B354" s="39" t="s">
        <v>1599</v>
      </c>
      <c r="C354" s="21" t="s">
        <v>628</v>
      </c>
      <c r="D354" s="21" t="s">
        <v>57</v>
      </c>
      <c r="E354" s="60" t="s">
        <v>31</v>
      </c>
      <c r="F354" s="24" t="s">
        <v>13</v>
      </c>
      <c r="G354" s="60" t="s">
        <v>1568</v>
      </c>
      <c r="H354" s="9">
        <f>CEILING(18165*USD,10)</f>
        <v>1174190</v>
      </c>
      <c r="I354" s="92" t="s">
        <v>1694</v>
      </c>
      <c r="J354" s="113" t="s">
        <v>1695</v>
      </c>
    </row>
    <row r="355" spans="1:10" ht="30" customHeight="1" x14ac:dyDescent="0.25">
      <c r="A355" s="133"/>
      <c r="B355" s="4" t="s">
        <v>1926</v>
      </c>
      <c r="C355" s="24" t="s">
        <v>103</v>
      </c>
      <c r="D355" s="24" t="s">
        <v>54</v>
      </c>
      <c r="E355" s="111" t="s">
        <v>31</v>
      </c>
      <c r="F355" s="24" t="s">
        <v>13</v>
      </c>
      <c r="G355" s="111" t="s">
        <v>135</v>
      </c>
      <c r="H355" s="9">
        <f>CEILING(7190*USD,10)</f>
        <v>464770</v>
      </c>
      <c r="I355" s="92" t="s">
        <v>1694</v>
      </c>
      <c r="J355" s="113" t="s">
        <v>1695</v>
      </c>
    </row>
    <row r="356" spans="1:10" ht="30" customHeight="1" x14ac:dyDescent="0.25">
      <c r="A356" s="133"/>
      <c r="B356" s="4" t="s">
        <v>1928</v>
      </c>
      <c r="C356" s="21" t="s">
        <v>105</v>
      </c>
      <c r="D356" s="21" t="s">
        <v>55</v>
      </c>
      <c r="E356" s="111" t="s">
        <v>31</v>
      </c>
      <c r="F356" s="24" t="s">
        <v>13</v>
      </c>
      <c r="G356" s="111" t="s">
        <v>149</v>
      </c>
      <c r="H356" s="9">
        <f>CEILING(6320*USD,10)</f>
        <v>408530</v>
      </c>
      <c r="I356" s="92" t="s">
        <v>1694</v>
      </c>
      <c r="J356" s="113" t="s">
        <v>1695</v>
      </c>
    </row>
    <row r="357" spans="1:10" ht="30" customHeight="1" x14ac:dyDescent="0.25">
      <c r="A357" s="133"/>
      <c r="B357" s="4" t="s">
        <v>1929</v>
      </c>
      <c r="C357" s="21" t="s">
        <v>107</v>
      </c>
      <c r="D357" s="21" t="s">
        <v>55</v>
      </c>
      <c r="E357" s="111" t="s">
        <v>31</v>
      </c>
      <c r="F357" s="24" t="s">
        <v>13</v>
      </c>
      <c r="G357" s="111" t="s">
        <v>149</v>
      </c>
      <c r="H357" s="9">
        <f>CEILING(6805*USD,10)</f>
        <v>439880</v>
      </c>
      <c r="I357" s="92" t="s">
        <v>1694</v>
      </c>
      <c r="J357" s="113" t="s">
        <v>1695</v>
      </c>
    </row>
    <row r="358" spans="1:10" ht="30" customHeight="1" x14ac:dyDescent="0.25">
      <c r="A358" s="133"/>
      <c r="B358" s="4" t="s">
        <v>1930</v>
      </c>
      <c r="C358" s="21" t="s">
        <v>68</v>
      </c>
      <c r="D358" s="21" t="s">
        <v>56</v>
      </c>
      <c r="E358" s="111" t="s">
        <v>31</v>
      </c>
      <c r="F358" s="24" t="s">
        <v>13</v>
      </c>
      <c r="G358" s="111" t="s">
        <v>149</v>
      </c>
      <c r="H358" s="9">
        <f>CEILING(6320*USD,10)</f>
        <v>408530</v>
      </c>
      <c r="I358" s="92" t="s">
        <v>1694</v>
      </c>
      <c r="J358" s="113" t="s">
        <v>1695</v>
      </c>
    </row>
    <row r="359" spans="1:10" ht="30" customHeight="1" x14ac:dyDescent="0.25">
      <c r="A359" s="133"/>
      <c r="B359" s="4" t="s">
        <v>1931</v>
      </c>
      <c r="C359" s="21" t="s">
        <v>184</v>
      </c>
      <c r="D359" s="21" t="s">
        <v>56</v>
      </c>
      <c r="E359" s="111" t="s">
        <v>31</v>
      </c>
      <c r="F359" s="24" t="s">
        <v>13</v>
      </c>
      <c r="G359" s="111" t="s">
        <v>1566</v>
      </c>
      <c r="H359" s="9">
        <f>CEILING(8365*USD,10)</f>
        <v>540720</v>
      </c>
      <c r="I359" s="92" t="s">
        <v>1694</v>
      </c>
      <c r="J359" s="113" t="s">
        <v>1695</v>
      </c>
    </row>
    <row r="360" spans="1:10" ht="30" customHeight="1" x14ac:dyDescent="0.25">
      <c r="A360" s="133"/>
      <c r="B360" s="4" t="s">
        <v>1932</v>
      </c>
      <c r="C360" s="21" t="s">
        <v>72</v>
      </c>
      <c r="D360" s="21" t="s">
        <v>56</v>
      </c>
      <c r="E360" s="111" t="s">
        <v>31</v>
      </c>
      <c r="F360" s="24" t="s">
        <v>13</v>
      </c>
      <c r="G360" s="111" t="s">
        <v>1567</v>
      </c>
      <c r="H360" s="9">
        <f>CEILING(9155*USD,10)</f>
        <v>591780</v>
      </c>
      <c r="I360" s="92" t="s">
        <v>1694</v>
      </c>
      <c r="J360" s="113" t="s">
        <v>1695</v>
      </c>
    </row>
    <row r="361" spans="1:10" ht="30" customHeight="1" x14ac:dyDescent="0.25">
      <c r="A361" s="133"/>
      <c r="B361" s="4" t="s">
        <v>1933</v>
      </c>
      <c r="C361" s="21" t="s">
        <v>602</v>
      </c>
      <c r="D361" s="21" t="s">
        <v>57</v>
      </c>
      <c r="E361" s="111" t="s">
        <v>31</v>
      </c>
      <c r="F361" s="24" t="s">
        <v>13</v>
      </c>
      <c r="G361" s="111" t="s">
        <v>1567</v>
      </c>
      <c r="H361" s="9">
        <f>CEILING(9640*USD,10)</f>
        <v>623130</v>
      </c>
      <c r="I361" s="92" t="s">
        <v>1694</v>
      </c>
      <c r="J361" s="113" t="s">
        <v>1695</v>
      </c>
    </row>
    <row r="362" spans="1:10" ht="30" customHeight="1" x14ac:dyDescent="0.25">
      <c r="A362" s="133"/>
      <c r="B362" s="4" t="s">
        <v>1934</v>
      </c>
      <c r="C362" s="21" t="s">
        <v>790</v>
      </c>
      <c r="D362" s="21" t="s">
        <v>57</v>
      </c>
      <c r="E362" s="111" t="s">
        <v>31</v>
      </c>
      <c r="F362" s="24" t="s">
        <v>13</v>
      </c>
      <c r="G362" s="111" t="s">
        <v>1567</v>
      </c>
      <c r="H362" s="9">
        <f>CEILING(10360*USD,10)</f>
        <v>669680</v>
      </c>
      <c r="I362" s="92" t="s">
        <v>1694</v>
      </c>
      <c r="J362" s="113" t="s">
        <v>1695</v>
      </c>
    </row>
    <row r="363" spans="1:10" ht="30" customHeight="1" x14ac:dyDescent="0.25">
      <c r="A363" s="133"/>
      <c r="B363" s="4" t="s">
        <v>1935</v>
      </c>
      <c r="C363" s="21" t="s">
        <v>589</v>
      </c>
      <c r="D363" s="21" t="s">
        <v>57</v>
      </c>
      <c r="E363" s="111" t="s">
        <v>31</v>
      </c>
      <c r="F363" s="24" t="s">
        <v>13</v>
      </c>
      <c r="G363" s="111" t="s">
        <v>1568</v>
      </c>
      <c r="H363" s="9">
        <f>CEILING(13335*USD,10)</f>
        <v>861980</v>
      </c>
      <c r="I363" s="92" t="s">
        <v>1694</v>
      </c>
      <c r="J363" s="113" t="s">
        <v>1695</v>
      </c>
    </row>
    <row r="364" spans="1:10" ht="30" customHeight="1" x14ac:dyDescent="0.25">
      <c r="A364" s="133"/>
      <c r="B364" s="4" t="s">
        <v>1936</v>
      </c>
      <c r="C364" s="21" t="s">
        <v>628</v>
      </c>
      <c r="D364" s="21" t="s">
        <v>57</v>
      </c>
      <c r="E364" s="111" t="s">
        <v>31</v>
      </c>
      <c r="F364" s="24" t="s">
        <v>13</v>
      </c>
      <c r="G364" s="111" t="s">
        <v>1568</v>
      </c>
      <c r="H364" s="9">
        <f>CEILING(14460*USD,10)</f>
        <v>934700</v>
      </c>
      <c r="I364" s="92" t="s">
        <v>1694</v>
      </c>
      <c r="J364" s="113" t="s">
        <v>1695</v>
      </c>
    </row>
    <row r="365" spans="1:10" ht="30" customHeight="1" x14ac:dyDescent="0.25">
      <c r="A365" s="133"/>
      <c r="B365" s="4" t="s">
        <v>1937</v>
      </c>
      <c r="C365" s="21" t="s">
        <v>103</v>
      </c>
      <c r="D365" s="24" t="s">
        <v>54</v>
      </c>
      <c r="E365" s="111" t="s">
        <v>31</v>
      </c>
      <c r="F365" s="24" t="s">
        <v>13</v>
      </c>
      <c r="G365" s="111" t="s">
        <v>135</v>
      </c>
      <c r="H365" s="9">
        <f>CEILING(7655*USD,10)</f>
        <v>494820</v>
      </c>
      <c r="I365" s="92" t="s">
        <v>1694</v>
      </c>
      <c r="J365" s="113" t="s">
        <v>1695</v>
      </c>
    </row>
    <row r="366" spans="1:10" ht="30" customHeight="1" x14ac:dyDescent="0.25">
      <c r="A366" s="133"/>
      <c r="B366" s="4" t="s">
        <v>1938</v>
      </c>
      <c r="C366" s="21" t="s">
        <v>105</v>
      </c>
      <c r="D366" s="21" t="s">
        <v>55</v>
      </c>
      <c r="E366" s="111" t="s">
        <v>31</v>
      </c>
      <c r="F366" s="24" t="s">
        <v>13</v>
      </c>
      <c r="G366" s="111" t="s">
        <v>149</v>
      </c>
      <c r="H366" s="9">
        <f>CEILING(6805*USD,10)</f>
        <v>439880</v>
      </c>
      <c r="I366" s="92" t="s">
        <v>1694</v>
      </c>
      <c r="J366" s="113" t="s">
        <v>1695</v>
      </c>
    </row>
    <row r="367" spans="1:10" ht="30" customHeight="1" x14ac:dyDescent="0.25">
      <c r="A367" s="133"/>
      <c r="B367" s="4" t="s">
        <v>1939</v>
      </c>
      <c r="C367" s="21" t="s">
        <v>107</v>
      </c>
      <c r="D367" s="21" t="s">
        <v>55</v>
      </c>
      <c r="E367" s="111" t="s">
        <v>31</v>
      </c>
      <c r="F367" s="24" t="s">
        <v>13</v>
      </c>
      <c r="G367" s="111" t="s">
        <v>149</v>
      </c>
      <c r="H367" s="9">
        <f>CEILING(7285*USD,10)</f>
        <v>470910</v>
      </c>
      <c r="I367" s="92" t="s">
        <v>1694</v>
      </c>
      <c r="J367" s="113" t="s">
        <v>1695</v>
      </c>
    </row>
    <row r="368" spans="1:10" ht="30" customHeight="1" x14ac:dyDescent="0.25">
      <c r="A368" s="133"/>
      <c r="B368" s="4" t="s">
        <v>1940</v>
      </c>
      <c r="C368" s="21" t="s">
        <v>68</v>
      </c>
      <c r="D368" s="21" t="s">
        <v>56</v>
      </c>
      <c r="E368" s="111" t="s">
        <v>31</v>
      </c>
      <c r="F368" s="24" t="s">
        <v>13</v>
      </c>
      <c r="G368" s="111" t="s">
        <v>149</v>
      </c>
      <c r="H368" s="9">
        <f>CEILING(6805*USD,10)</f>
        <v>439880</v>
      </c>
      <c r="I368" s="92" t="s">
        <v>1694</v>
      </c>
      <c r="J368" s="113" t="s">
        <v>1695</v>
      </c>
    </row>
    <row r="369" spans="1:10" ht="30" customHeight="1" x14ac:dyDescent="0.25">
      <c r="A369" s="133"/>
      <c r="B369" s="4" t="s">
        <v>1941</v>
      </c>
      <c r="C369" s="21" t="s">
        <v>184</v>
      </c>
      <c r="D369" s="21" t="s">
        <v>56</v>
      </c>
      <c r="E369" s="111" t="s">
        <v>31</v>
      </c>
      <c r="F369" s="24" t="s">
        <v>13</v>
      </c>
      <c r="G369" s="111" t="s">
        <v>1566</v>
      </c>
      <c r="H369" s="9">
        <f>CEILING(8840*USD,10)</f>
        <v>571420</v>
      </c>
      <c r="I369" s="92" t="s">
        <v>1694</v>
      </c>
      <c r="J369" s="113" t="s">
        <v>1695</v>
      </c>
    </row>
    <row r="370" spans="1:10" ht="30" customHeight="1" x14ac:dyDescent="0.25">
      <c r="A370" s="133"/>
      <c r="B370" s="4" t="s">
        <v>1942</v>
      </c>
      <c r="C370" s="21" t="s">
        <v>72</v>
      </c>
      <c r="D370" s="21" t="s">
        <v>56</v>
      </c>
      <c r="E370" s="111" t="s">
        <v>31</v>
      </c>
      <c r="F370" s="24" t="s">
        <v>13</v>
      </c>
      <c r="G370" s="111" t="s">
        <v>1567</v>
      </c>
      <c r="H370" s="9">
        <f>CEILING(9625*USD,10)</f>
        <v>622160</v>
      </c>
      <c r="I370" s="92" t="s">
        <v>1694</v>
      </c>
      <c r="J370" s="113" t="s">
        <v>1695</v>
      </c>
    </row>
    <row r="371" spans="1:10" ht="30" customHeight="1" x14ac:dyDescent="0.25">
      <c r="A371" s="133"/>
      <c r="B371" s="4" t="s">
        <v>1943</v>
      </c>
      <c r="C371" s="21" t="s">
        <v>602</v>
      </c>
      <c r="D371" s="21" t="s">
        <v>57</v>
      </c>
      <c r="E371" s="111" t="s">
        <v>31</v>
      </c>
      <c r="F371" s="24" t="s">
        <v>13</v>
      </c>
      <c r="G371" s="111" t="s">
        <v>1567</v>
      </c>
      <c r="H371" s="9">
        <f>CEILING(10110*USD,10)</f>
        <v>653520</v>
      </c>
      <c r="I371" s="92" t="s">
        <v>1694</v>
      </c>
      <c r="J371" s="113" t="s">
        <v>1695</v>
      </c>
    </row>
    <row r="372" spans="1:10" ht="30" customHeight="1" x14ac:dyDescent="0.25">
      <c r="A372" s="133"/>
      <c r="B372" s="4" t="s">
        <v>1944</v>
      </c>
      <c r="C372" s="21" t="s">
        <v>790</v>
      </c>
      <c r="D372" s="21" t="s">
        <v>57</v>
      </c>
      <c r="E372" s="111" t="s">
        <v>31</v>
      </c>
      <c r="F372" s="24" t="s">
        <v>13</v>
      </c>
      <c r="G372" s="111" t="s">
        <v>1567</v>
      </c>
      <c r="H372" s="9">
        <f>CEILING(10805*USD,10)</f>
        <v>698440</v>
      </c>
      <c r="I372" s="92" t="s">
        <v>1694</v>
      </c>
      <c r="J372" s="113" t="s">
        <v>1695</v>
      </c>
    </row>
    <row r="373" spans="1:10" ht="30" customHeight="1" x14ac:dyDescent="0.25">
      <c r="A373" s="133"/>
      <c r="B373" s="4" t="s">
        <v>1945</v>
      </c>
      <c r="C373" s="21" t="s">
        <v>589</v>
      </c>
      <c r="D373" s="21" t="s">
        <v>57</v>
      </c>
      <c r="E373" s="111" t="s">
        <v>31</v>
      </c>
      <c r="F373" s="24" t="s">
        <v>13</v>
      </c>
      <c r="G373" s="111" t="s">
        <v>1568</v>
      </c>
      <c r="H373" s="9">
        <f>CEILING(13825*USD,10)</f>
        <v>893650</v>
      </c>
      <c r="I373" s="92" t="s">
        <v>1694</v>
      </c>
      <c r="J373" s="113" t="s">
        <v>1695</v>
      </c>
    </row>
    <row r="374" spans="1:10" ht="30" customHeight="1" x14ac:dyDescent="0.25">
      <c r="A374" s="134"/>
      <c r="B374" s="4" t="s">
        <v>1946</v>
      </c>
      <c r="C374" s="21" t="s">
        <v>628</v>
      </c>
      <c r="D374" s="21" t="s">
        <v>57</v>
      </c>
      <c r="E374" s="111" t="s">
        <v>31</v>
      </c>
      <c r="F374" s="24" t="s">
        <v>13</v>
      </c>
      <c r="G374" s="111" t="s">
        <v>1568</v>
      </c>
      <c r="H374" s="9">
        <f>CEILING(14960*USD,10)</f>
        <v>967020</v>
      </c>
      <c r="I374" s="92" t="s">
        <v>1694</v>
      </c>
      <c r="J374" s="113" t="s">
        <v>1695</v>
      </c>
    </row>
    <row r="375" spans="1:10" ht="20.100000000000001" customHeight="1" x14ac:dyDescent="0.25">
      <c r="A375" s="139" t="s">
        <v>74</v>
      </c>
      <c r="B375" s="139"/>
      <c r="C375" s="139"/>
      <c r="D375" s="139"/>
      <c r="E375" s="139"/>
      <c r="F375" s="139"/>
      <c r="G375" s="139"/>
      <c r="H375" s="139"/>
      <c r="I375" s="139"/>
      <c r="J375" s="139"/>
    </row>
    <row r="376" spans="1:10" ht="20.100000000000001" customHeight="1" x14ac:dyDescent="0.25">
      <c r="A376" s="135" t="s">
        <v>1291</v>
      </c>
      <c r="B376" s="136"/>
      <c r="C376" s="136"/>
      <c r="D376" s="136"/>
      <c r="E376" s="136"/>
      <c r="F376" s="136"/>
      <c r="G376" s="137"/>
      <c r="H376" s="9">
        <v>1220</v>
      </c>
      <c r="I376" s="8">
        <v>0</v>
      </c>
      <c r="J376" s="9">
        <f>H376</f>
        <v>1220</v>
      </c>
    </row>
    <row r="377" spans="1:10" ht="20.100000000000001" customHeight="1" x14ac:dyDescent="0.25">
      <c r="A377" s="135" t="s">
        <v>1053</v>
      </c>
      <c r="B377" s="136"/>
      <c r="C377" s="136"/>
      <c r="D377" s="136"/>
      <c r="E377" s="136"/>
      <c r="F377" s="136"/>
      <c r="G377" s="137"/>
      <c r="H377" s="9">
        <v>1630</v>
      </c>
      <c r="I377" s="8">
        <v>0</v>
      </c>
      <c r="J377" s="9">
        <f>H377</f>
        <v>1630</v>
      </c>
    </row>
    <row r="378" spans="1:10" ht="20.100000000000001" customHeight="1" x14ac:dyDescent="0.25">
      <c r="A378" s="135" t="s">
        <v>1922</v>
      </c>
      <c r="B378" s="136"/>
      <c r="C378" s="136"/>
      <c r="D378" s="136"/>
      <c r="E378" s="136"/>
      <c r="F378" s="136"/>
      <c r="G378" s="137"/>
      <c r="H378" s="9">
        <f>CEILING(1670*USD,10)</f>
        <v>107950</v>
      </c>
      <c r="I378" s="8">
        <v>0</v>
      </c>
      <c r="J378" s="9">
        <f>H378</f>
        <v>107950</v>
      </c>
    </row>
    <row r="379" spans="1:10" ht="20.100000000000001" customHeight="1" x14ac:dyDescent="0.25">
      <c r="A379" s="135" t="s">
        <v>1569</v>
      </c>
      <c r="B379" s="136"/>
      <c r="C379" s="136"/>
      <c r="D379" s="136"/>
      <c r="E379" s="136"/>
      <c r="F379" s="136"/>
      <c r="G379" s="137"/>
      <c r="H379" s="9">
        <f>CEILING(1220*USD,10)</f>
        <v>78870</v>
      </c>
      <c r="I379" s="8">
        <v>0</v>
      </c>
      <c r="J379" s="9">
        <f t="shared" ref="J379:J390" si="21">H379</f>
        <v>78870</v>
      </c>
    </row>
    <row r="380" spans="1:10" ht="20.100000000000001" customHeight="1" x14ac:dyDescent="0.25">
      <c r="A380" s="135" t="s">
        <v>1570</v>
      </c>
      <c r="B380" s="136"/>
      <c r="C380" s="136"/>
      <c r="D380" s="136"/>
      <c r="E380" s="136"/>
      <c r="F380" s="136"/>
      <c r="G380" s="137"/>
      <c r="H380" s="9">
        <f>CEILING(275*USD,10)</f>
        <v>17780</v>
      </c>
      <c r="I380" s="8">
        <v>0</v>
      </c>
      <c r="J380" s="9">
        <f t="shared" si="21"/>
        <v>17780</v>
      </c>
    </row>
    <row r="381" spans="1:10" ht="20.100000000000001" customHeight="1" x14ac:dyDescent="0.25">
      <c r="A381" s="135" t="s">
        <v>1571</v>
      </c>
      <c r="B381" s="136"/>
      <c r="C381" s="136"/>
      <c r="D381" s="136"/>
      <c r="E381" s="136"/>
      <c r="F381" s="136"/>
      <c r="G381" s="137"/>
      <c r="H381" s="9">
        <f>CEILING(1330*USD,10)</f>
        <v>85980</v>
      </c>
      <c r="I381" s="8">
        <v>0</v>
      </c>
      <c r="J381" s="9">
        <f t="shared" si="21"/>
        <v>85980</v>
      </c>
    </row>
    <row r="382" spans="1:10" ht="20.100000000000001" customHeight="1" x14ac:dyDescent="0.25">
      <c r="A382" s="135" t="s">
        <v>1572</v>
      </c>
      <c r="B382" s="136"/>
      <c r="C382" s="136"/>
      <c r="D382" s="136"/>
      <c r="E382" s="136"/>
      <c r="F382" s="136"/>
      <c r="G382" s="137"/>
      <c r="H382" s="9">
        <f>CEILING(1380*USD,10)</f>
        <v>89210</v>
      </c>
      <c r="I382" s="8">
        <v>0</v>
      </c>
      <c r="J382" s="9">
        <f t="shared" si="21"/>
        <v>89210</v>
      </c>
    </row>
    <row r="383" spans="1:10" ht="20.100000000000001" customHeight="1" x14ac:dyDescent="0.25">
      <c r="A383" s="135" t="s">
        <v>1573</v>
      </c>
      <c r="B383" s="136"/>
      <c r="C383" s="136"/>
      <c r="D383" s="136"/>
      <c r="E383" s="136"/>
      <c r="F383" s="136"/>
      <c r="G383" s="137"/>
      <c r="H383" s="9">
        <f>CEILING(700*USD,10)</f>
        <v>45250</v>
      </c>
      <c r="I383" s="8">
        <v>0</v>
      </c>
      <c r="J383" s="9">
        <f t="shared" si="21"/>
        <v>45250</v>
      </c>
    </row>
    <row r="384" spans="1:10" ht="20.100000000000001" customHeight="1" x14ac:dyDescent="0.25">
      <c r="A384" s="135" t="s">
        <v>1574</v>
      </c>
      <c r="B384" s="136"/>
      <c r="C384" s="136"/>
      <c r="D384" s="136"/>
      <c r="E384" s="136"/>
      <c r="F384" s="136"/>
      <c r="G384" s="137"/>
      <c r="H384" s="9">
        <f>CEILING(1030*USD,10)</f>
        <v>66580</v>
      </c>
      <c r="I384" s="8">
        <v>0</v>
      </c>
      <c r="J384" s="9">
        <f t="shared" si="21"/>
        <v>66580</v>
      </c>
    </row>
    <row r="385" spans="1:10" ht="20.100000000000001" customHeight="1" x14ac:dyDescent="0.25">
      <c r="A385" s="135" t="s">
        <v>1575</v>
      </c>
      <c r="B385" s="136"/>
      <c r="C385" s="136"/>
      <c r="D385" s="136"/>
      <c r="E385" s="136"/>
      <c r="F385" s="136"/>
      <c r="G385" s="137"/>
      <c r="H385" s="9">
        <f>CEILING(170*USD,10)</f>
        <v>10990</v>
      </c>
      <c r="I385" s="8">
        <v>0</v>
      </c>
      <c r="J385" s="9">
        <f t="shared" si="21"/>
        <v>10990</v>
      </c>
    </row>
    <row r="386" spans="1:10" ht="20.100000000000001" customHeight="1" x14ac:dyDescent="0.25">
      <c r="A386" s="138" t="s">
        <v>1923</v>
      </c>
      <c r="B386" s="138"/>
      <c r="C386" s="138"/>
      <c r="D386" s="138"/>
      <c r="E386" s="138"/>
      <c r="F386" s="138"/>
      <c r="G386" s="138"/>
      <c r="H386" s="9">
        <f>CEILING(1090*USD,10)</f>
        <v>70460</v>
      </c>
      <c r="I386" s="8">
        <v>0</v>
      </c>
      <c r="J386" s="9">
        <f t="shared" si="21"/>
        <v>70460</v>
      </c>
    </row>
    <row r="387" spans="1:10" ht="20.100000000000001" customHeight="1" x14ac:dyDescent="0.25">
      <c r="A387" s="138" t="s">
        <v>1924</v>
      </c>
      <c r="B387" s="138"/>
      <c r="C387" s="138"/>
      <c r="D387" s="138"/>
      <c r="E387" s="138"/>
      <c r="F387" s="138"/>
      <c r="G387" s="138"/>
      <c r="H387" s="9">
        <f>CEILING(1220*USD,10)</f>
        <v>78870</v>
      </c>
      <c r="I387" s="8">
        <v>0</v>
      </c>
      <c r="J387" s="9">
        <f t="shared" si="21"/>
        <v>78870</v>
      </c>
    </row>
    <row r="388" spans="1:10" ht="20.100000000000001" customHeight="1" x14ac:dyDescent="0.25">
      <c r="A388" s="138" t="s">
        <v>1925</v>
      </c>
      <c r="B388" s="138"/>
      <c r="C388" s="138"/>
      <c r="D388" s="138"/>
      <c r="E388" s="138"/>
      <c r="F388" s="138"/>
      <c r="G388" s="138"/>
      <c r="H388" s="9">
        <f>CEILING(1480*USD,10)</f>
        <v>95670</v>
      </c>
      <c r="I388" s="8">
        <v>0</v>
      </c>
      <c r="J388" s="9">
        <f t="shared" si="21"/>
        <v>95670</v>
      </c>
    </row>
    <row r="389" spans="1:10" ht="20.100000000000001" customHeight="1" x14ac:dyDescent="0.25">
      <c r="A389" s="135" t="s">
        <v>1292</v>
      </c>
      <c r="B389" s="136"/>
      <c r="C389" s="136"/>
      <c r="D389" s="136"/>
      <c r="E389" s="136"/>
      <c r="F389" s="136"/>
      <c r="G389" s="137"/>
      <c r="H389" s="9">
        <f>CEILING(670*USD,10)</f>
        <v>43310</v>
      </c>
      <c r="I389" s="8">
        <v>0</v>
      </c>
      <c r="J389" s="9">
        <f t="shared" si="21"/>
        <v>43310</v>
      </c>
    </row>
    <row r="390" spans="1:10" ht="20.100000000000001" customHeight="1" x14ac:dyDescent="0.25">
      <c r="A390" s="135" t="s">
        <v>1921</v>
      </c>
      <c r="B390" s="136"/>
      <c r="C390" s="136"/>
      <c r="D390" s="136"/>
      <c r="E390" s="136"/>
      <c r="F390" s="136"/>
      <c r="G390" s="137"/>
      <c r="H390" s="9">
        <v>18900</v>
      </c>
      <c r="I390" s="8">
        <v>0</v>
      </c>
      <c r="J390" s="9">
        <f t="shared" si="21"/>
        <v>18900</v>
      </c>
    </row>
  </sheetData>
  <mergeCells count="200">
    <mergeCell ref="A390:G390"/>
    <mergeCell ref="A16:G16"/>
    <mergeCell ref="A29:G29"/>
    <mergeCell ref="A47:G47"/>
    <mergeCell ref="A63:G63"/>
    <mergeCell ref="A97:G97"/>
    <mergeCell ref="A138:G138"/>
    <mergeCell ref="A139:G139"/>
    <mergeCell ref="A140:J140"/>
    <mergeCell ref="A163:G163"/>
    <mergeCell ref="A132:G132"/>
    <mergeCell ref="A133:G133"/>
    <mergeCell ref="A134:G134"/>
    <mergeCell ref="A135:G135"/>
    <mergeCell ref="A136:G136"/>
    <mergeCell ref="A66:G66"/>
    <mergeCell ref="A30:G30"/>
    <mergeCell ref="A31:G31"/>
    <mergeCell ref="A33:G33"/>
    <mergeCell ref="A34:G34"/>
    <mergeCell ref="A32:G32"/>
    <mergeCell ref="A137:G137"/>
    <mergeCell ref="A112:A129"/>
    <mergeCell ref="A108:G108"/>
    <mergeCell ref="A28:J28"/>
    <mergeCell ref="A51:G51"/>
    <mergeCell ref="A55:J55"/>
    <mergeCell ref="A103:G103"/>
    <mergeCell ref="A99:G99"/>
    <mergeCell ref="A98:G98"/>
    <mergeCell ref="A54:G54"/>
    <mergeCell ref="A56:J56"/>
    <mergeCell ref="A58:A61"/>
    <mergeCell ref="A62:J62"/>
    <mergeCell ref="A64:G64"/>
    <mergeCell ref="A100:G100"/>
    <mergeCell ref="A101:G101"/>
    <mergeCell ref="A67:G67"/>
    <mergeCell ref="A68:G68"/>
    <mergeCell ref="A48:G48"/>
    <mergeCell ref="A65:G65"/>
    <mergeCell ref="A53:G53"/>
    <mergeCell ref="A175:J175"/>
    <mergeCell ref="A199:A206"/>
    <mergeCell ref="A110:J110"/>
    <mergeCell ref="A107:G107"/>
    <mergeCell ref="A168:G168"/>
    <mergeCell ref="A169:G169"/>
    <mergeCell ref="A102:G102"/>
    <mergeCell ref="A170:G170"/>
    <mergeCell ref="A37:J37"/>
    <mergeCell ref="A38:J38"/>
    <mergeCell ref="A40:A45"/>
    <mergeCell ref="A46:J46"/>
    <mergeCell ref="A49:G49"/>
    <mergeCell ref="A105:G105"/>
    <mergeCell ref="A104:G104"/>
    <mergeCell ref="A131:G131"/>
    <mergeCell ref="A106:G106"/>
    <mergeCell ref="A174:G174"/>
    <mergeCell ref="A173:G173"/>
    <mergeCell ref="A69:G69"/>
    <mergeCell ref="A70:G70"/>
    <mergeCell ref="A71:J71"/>
    <mergeCell ref="A72:J72"/>
    <mergeCell ref="A74:A95"/>
    <mergeCell ref="A96:J96"/>
    <mergeCell ref="A164:G164"/>
    <mergeCell ref="A165:G165"/>
    <mergeCell ref="A109:J109"/>
    <mergeCell ref="A166:G166"/>
    <mergeCell ref="A167:G167"/>
    <mergeCell ref="A162:J162"/>
    <mergeCell ref="A216:J216"/>
    <mergeCell ref="A217:J217"/>
    <mergeCell ref="A197:J197"/>
    <mergeCell ref="A188:J188"/>
    <mergeCell ref="A190:G190"/>
    <mergeCell ref="A191:G191"/>
    <mergeCell ref="A192:G192"/>
    <mergeCell ref="A209:G209"/>
    <mergeCell ref="A241:G241"/>
    <mergeCell ref="A228:J228"/>
    <mergeCell ref="A237:G237"/>
    <mergeCell ref="A238:G238"/>
    <mergeCell ref="A240:G240"/>
    <mergeCell ref="A207:J207"/>
    <mergeCell ref="A193:G193"/>
    <mergeCell ref="A194:G194"/>
    <mergeCell ref="A195:G195"/>
    <mergeCell ref="A219:A227"/>
    <mergeCell ref="A211:G211"/>
    <mergeCell ref="A208:G208"/>
    <mergeCell ref="A210:G210"/>
    <mergeCell ref="A189:G189"/>
    <mergeCell ref="A267:J267"/>
    <mergeCell ref="A307:A326"/>
    <mergeCell ref="A262:G262"/>
    <mergeCell ref="A259:G259"/>
    <mergeCell ref="A268:J268"/>
    <mergeCell ref="A270:A289"/>
    <mergeCell ref="A290:J290"/>
    <mergeCell ref="A291:G291"/>
    <mergeCell ref="A264:G264"/>
    <mergeCell ref="A265:G265"/>
    <mergeCell ref="A266:G266"/>
    <mergeCell ref="A263:G263"/>
    <mergeCell ref="A295:G295"/>
    <mergeCell ref="A296:G296"/>
    <mergeCell ref="A298:G298"/>
    <mergeCell ref="A297:G297"/>
    <mergeCell ref="A305:J305"/>
    <mergeCell ref="A141:J141"/>
    <mergeCell ref="A130:J130"/>
    <mergeCell ref="A256:G256"/>
    <mergeCell ref="A244:J244"/>
    <mergeCell ref="A246:A253"/>
    <mergeCell ref="A254:J254"/>
    <mergeCell ref="A214:G214"/>
    <mergeCell ref="A215:G215"/>
    <mergeCell ref="A236:G236"/>
    <mergeCell ref="A229:G229"/>
    <mergeCell ref="A230:G230"/>
    <mergeCell ref="A232:G232"/>
    <mergeCell ref="A233:G233"/>
    <mergeCell ref="A235:G235"/>
    <mergeCell ref="A234:G234"/>
    <mergeCell ref="A231:G231"/>
    <mergeCell ref="A242:G242"/>
    <mergeCell ref="A255:G255"/>
    <mergeCell ref="A196:J196"/>
    <mergeCell ref="A143:A161"/>
    <mergeCell ref="A212:G212"/>
    <mergeCell ref="A213:G213"/>
    <mergeCell ref="A239:G239"/>
    <mergeCell ref="A243:J243"/>
    <mergeCell ref="A1:J1"/>
    <mergeCell ref="A4:J4"/>
    <mergeCell ref="A5:G5"/>
    <mergeCell ref="A6:G6"/>
    <mergeCell ref="A7:G7"/>
    <mergeCell ref="A8:G8"/>
    <mergeCell ref="A11:J11"/>
    <mergeCell ref="A23:G23"/>
    <mergeCell ref="A52:G52"/>
    <mergeCell ref="A12:J12"/>
    <mergeCell ref="A15:J15"/>
    <mergeCell ref="A19:G19"/>
    <mergeCell ref="A21:G21"/>
    <mergeCell ref="A22:G22"/>
    <mergeCell ref="A17:G17"/>
    <mergeCell ref="A18:G18"/>
    <mergeCell ref="A9:G9"/>
    <mergeCell ref="A10:G10"/>
    <mergeCell ref="A50:G50"/>
    <mergeCell ref="A35:G35"/>
    <mergeCell ref="A20:G20"/>
    <mergeCell ref="A36:G36"/>
    <mergeCell ref="A24:J24"/>
    <mergeCell ref="A25:J25"/>
    <mergeCell ref="A176:J176"/>
    <mergeCell ref="A178:A187"/>
    <mergeCell ref="A171:G171"/>
    <mergeCell ref="A172:G172"/>
    <mergeCell ref="A332:J332"/>
    <mergeCell ref="A333:J333"/>
    <mergeCell ref="A327:J327"/>
    <mergeCell ref="A328:G328"/>
    <mergeCell ref="A329:G329"/>
    <mergeCell ref="A330:G330"/>
    <mergeCell ref="A299:G299"/>
    <mergeCell ref="A300:G300"/>
    <mergeCell ref="A304:J304"/>
    <mergeCell ref="A301:G301"/>
    <mergeCell ref="A303:G303"/>
    <mergeCell ref="A302:G302"/>
    <mergeCell ref="A331:G331"/>
    <mergeCell ref="A292:G292"/>
    <mergeCell ref="A293:G293"/>
    <mergeCell ref="A294:G294"/>
    <mergeCell ref="A257:G257"/>
    <mergeCell ref="A258:G258"/>
    <mergeCell ref="A261:G261"/>
    <mergeCell ref="A260:G260"/>
    <mergeCell ref="A383:G383"/>
    <mergeCell ref="A389:G389"/>
    <mergeCell ref="A384:G384"/>
    <mergeCell ref="A385:G385"/>
    <mergeCell ref="A386:G386"/>
    <mergeCell ref="A387:G387"/>
    <mergeCell ref="A388:G388"/>
    <mergeCell ref="A335:A374"/>
    <mergeCell ref="A380:G380"/>
    <mergeCell ref="A381:G381"/>
    <mergeCell ref="A382:G382"/>
    <mergeCell ref="A376:G376"/>
    <mergeCell ref="A379:G379"/>
    <mergeCell ref="A377:G377"/>
    <mergeCell ref="A378:G378"/>
    <mergeCell ref="A375:J375"/>
  </mergeCells>
  <hyperlinks>
    <hyperlink ref="B143" r:id="rId1"/>
    <hyperlink ref="B145" r:id="rId2"/>
    <hyperlink ref="B147" r:id="rId3"/>
    <hyperlink ref="B144" r:id="rId4"/>
    <hyperlink ref="B146" r:id="rId5"/>
    <hyperlink ref="B148" r:id="rId6"/>
    <hyperlink ref="B149" r:id="rId7"/>
    <hyperlink ref="B150" r:id="rId8"/>
    <hyperlink ref="B151" r:id="rId9"/>
    <hyperlink ref="B152" r:id="rId10"/>
    <hyperlink ref="B153" r:id="rId11"/>
    <hyperlink ref="B155" r:id="rId12"/>
    <hyperlink ref="B157" r:id="rId13"/>
    <hyperlink ref="B154" r:id="rId14"/>
    <hyperlink ref="B156" r:id="rId15"/>
    <hyperlink ref="B159" r:id="rId16"/>
    <hyperlink ref="B158" r:id="rId17"/>
    <hyperlink ref="B160" r:id="rId18"/>
    <hyperlink ref="B161" r:id="rId19"/>
    <hyperlink ref="B199" r:id="rId20"/>
    <hyperlink ref="B200" r:id="rId21"/>
    <hyperlink ref="B201" r:id="rId22"/>
    <hyperlink ref="B202" r:id="rId23"/>
    <hyperlink ref="B203" r:id="rId24"/>
    <hyperlink ref="B205" r:id="rId25"/>
    <hyperlink ref="B204" r:id="rId26"/>
    <hyperlink ref="B206" r:id="rId27"/>
    <hyperlink ref="B219" r:id="rId28"/>
    <hyperlink ref="B220" r:id="rId29"/>
    <hyperlink ref="B221" r:id="rId30"/>
    <hyperlink ref="B222" r:id="rId31"/>
    <hyperlink ref="B223" r:id="rId32"/>
    <hyperlink ref="B224" r:id="rId33"/>
    <hyperlink ref="B225" r:id="rId34"/>
    <hyperlink ref="B226" r:id="rId35"/>
    <hyperlink ref="B227" r:id="rId36"/>
    <hyperlink ref="B246" r:id="rId37"/>
    <hyperlink ref="B247" r:id="rId38"/>
    <hyperlink ref="B248" r:id="rId39"/>
    <hyperlink ref="B249" r:id="rId40"/>
    <hyperlink ref="B250" r:id="rId41"/>
    <hyperlink ref="B251" r:id="rId42"/>
    <hyperlink ref="B252" r:id="rId43"/>
    <hyperlink ref="B253" r:id="rId44"/>
    <hyperlink ref="B310" r:id="rId45"/>
    <hyperlink ref="B312" r:id="rId46"/>
    <hyperlink ref="B308" r:id="rId47"/>
    <hyperlink ref="B318" r:id="rId48"/>
    <hyperlink ref="B324" r:id="rId49"/>
    <hyperlink ref="B320" r:id="rId50"/>
    <hyperlink ref="B309" r:id="rId51"/>
    <hyperlink ref="B314" r:id="rId52"/>
    <hyperlink ref="B322" r:id="rId53"/>
    <hyperlink ref="B311" r:id="rId54"/>
    <hyperlink ref="B307" r:id="rId55"/>
    <hyperlink ref="B317" r:id="rId56"/>
    <hyperlink ref="B323" r:id="rId57"/>
    <hyperlink ref="B319" r:id="rId58"/>
    <hyperlink ref="B316" r:id="rId59"/>
    <hyperlink ref="B321" r:id="rId60"/>
    <hyperlink ref="B313" r:id="rId61"/>
    <hyperlink ref="B326" r:id="rId62"/>
    <hyperlink ref="B315" r:id="rId63"/>
    <hyperlink ref="B325" r:id="rId64"/>
    <hyperlink ref="B3" r:id="rId65"/>
    <hyperlink ref="B14" r:id="rId66" display="AF 225DRCE"/>
    <hyperlink ref="B27" r:id="rId67" display="AF 224RCE"/>
    <hyperlink ref="B40" r:id="rId68" display="HT 84CE"/>
    <hyperlink ref="B42" r:id="rId69" display="HT 124CE"/>
    <hyperlink ref="B41" r:id="rId70" display="HT 84RCE"/>
    <hyperlink ref="B43" r:id="rId71" display="HT 124RCE"/>
    <hyperlink ref="B45" r:id="rId72" display="HT 224RCE"/>
    <hyperlink ref="B44" r:id="rId73" display="HT 224CE"/>
    <hyperlink ref="B74" r:id="rId74" display="LN 223CE"/>
    <hyperlink ref="B76" r:id="rId75" display="LN 323CE"/>
    <hyperlink ref="B78" r:id="rId76" display="LN 423CE"/>
    <hyperlink ref="B75" r:id="rId77" display="LN 223RCE"/>
    <hyperlink ref="B77" r:id="rId78" display="LN 323RCE"/>
    <hyperlink ref="B80" r:id="rId79" display="LN 623CE"/>
    <hyperlink ref="B79" r:id="rId80" display="LN 423RCE"/>
    <hyperlink ref="B81" r:id="rId81" display="LN 623RCE"/>
    <hyperlink ref="B82" r:id="rId82" display="LN 1202CE"/>
    <hyperlink ref="B84" r:id="rId83" display="LN 2202CE"/>
    <hyperlink ref="B88" r:id="rId84" display="LN 4202CE"/>
    <hyperlink ref="B83" r:id="rId85" display="LN 1202RCE"/>
    <hyperlink ref="B85" r:id="rId86" display="LN 2202RCE"/>
    <hyperlink ref="B87" r:id="rId87" display="LN 3202RCE"/>
    <hyperlink ref="B86" r:id="rId88" display="LN 3202CE"/>
    <hyperlink ref="B89" r:id="rId89" display="LN 4202RCE"/>
    <hyperlink ref="B90" r:id="rId90" display="LN 6202CE"/>
    <hyperlink ref="B91" r:id="rId91" display="LN 8201CE"/>
    <hyperlink ref="B92" r:id="rId92" display="LN 12001CE"/>
    <hyperlink ref="B93" r:id="rId93" display="LN 15001CE"/>
    <hyperlink ref="B94" r:id="rId94" display="LN 21001CE"/>
    <hyperlink ref="B95" r:id="rId95" display="LN 31001CE"/>
    <hyperlink ref="B178" r:id="rId96"/>
    <hyperlink ref="B180" r:id="rId97"/>
    <hyperlink ref="B182" r:id="rId98"/>
    <hyperlink ref="B184" r:id="rId99"/>
    <hyperlink ref="B186" r:id="rId100"/>
    <hyperlink ref="B179" r:id="rId101"/>
    <hyperlink ref="B181" r:id="rId102"/>
    <hyperlink ref="B183" r:id="rId103"/>
    <hyperlink ref="B185" r:id="rId104"/>
    <hyperlink ref="B187" r:id="rId105"/>
    <hyperlink ref="B112" r:id="rId106"/>
    <hyperlink ref="B113" r:id="rId107"/>
    <hyperlink ref="B114" r:id="rId108"/>
    <hyperlink ref="B115" r:id="rId109"/>
    <hyperlink ref="B116" r:id="rId110"/>
    <hyperlink ref="B117" r:id="rId111"/>
    <hyperlink ref="B118" r:id="rId112"/>
    <hyperlink ref="B119" r:id="rId113"/>
    <hyperlink ref="B120" r:id="rId114"/>
    <hyperlink ref="B121" r:id="rId115"/>
    <hyperlink ref="B122" r:id="rId116"/>
    <hyperlink ref="B123" r:id="rId117"/>
    <hyperlink ref="B124" r:id="rId118"/>
    <hyperlink ref="B125" r:id="rId119"/>
    <hyperlink ref="B126" r:id="rId120"/>
    <hyperlink ref="B127" r:id="rId121"/>
    <hyperlink ref="B128" r:id="rId122"/>
    <hyperlink ref="B129" r:id="rId123"/>
  </hyperlinks>
  <pageMargins left="0.7" right="0.7" top="0.75" bottom="0.75" header="0.3" footer="0.3"/>
  <pageSetup paperSize="9" orientation="portrait" r:id="rId124"/>
  <drawing r:id="rId1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332"/>
  <sheetViews>
    <sheetView topLeftCell="A70" zoomScale="90" zoomScaleNormal="90" workbookViewId="0">
      <selection activeCell="H20" sqref="H20"/>
    </sheetView>
  </sheetViews>
  <sheetFormatPr defaultRowHeight="13.5" x14ac:dyDescent="0.25"/>
  <cols>
    <col min="1" max="1" width="23.28515625" style="1" customWidth="1"/>
    <col min="2" max="2" width="21.570312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1686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44"/>
      <c r="B2" s="39" t="s">
        <v>2</v>
      </c>
      <c r="C2" s="4" t="s">
        <v>48</v>
      </c>
      <c r="D2" s="4" t="s">
        <v>49</v>
      </c>
      <c r="E2" s="39" t="s">
        <v>9</v>
      </c>
      <c r="F2" s="39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20.100000000000001" customHeight="1" x14ac:dyDescent="0.25">
      <c r="A3" s="133"/>
      <c r="B3" s="6" t="s">
        <v>673</v>
      </c>
      <c r="C3" s="44" t="s">
        <v>51</v>
      </c>
      <c r="D3" s="44" t="s">
        <v>53</v>
      </c>
      <c r="E3" s="44" t="s">
        <v>14</v>
      </c>
      <c r="F3" s="44" t="s">
        <v>13</v>
      </c>
      <c r="G3" s="44" t="s">
        <v>78</v>
      </c>
      <c r="H3" s="7">
        <f>CEILING(1828*USD,10)</f>
        <v>118170</v>
      </c>
      <c r="I3" s="8">
        <v>0.2</v>
      </c>
      <c r="J3" s="9">
        <f>CEILING(H3*0.8,10)</f>
        <v>94540</v>
      </c>
    </row>
    <row r="4" spans="1:10" ht="20.100000000000001" customHeight="1" x14ac:dyDescent="0.25">
      <c r="A4" s="133"/>
      <c r="B4" s="6" t="s">
        <v>674</v>
      </c>
      <c r="C4" s="44" t="s">
        <v>52</v>
      </c>
      <c r="D4" s="44" t="s">
        <v>53</v>
      </c>
      <c r="E4" s="44" t="s">
        <v>14</v>
      </c>
      <c r="F4" s="44" t="s">
        <v>13</v>
      </c>
      <c r="G4" s="44" t="s">
        <v>78</v>
      </c>
      <c r="H4" s="7">
        <f>CEILING(1999*USD,10)</f>
        <v>129220</v>
      </c>
      <c r="I4" s="8">
        <v>0.2</v>
      </c>
      <c r="J4" s="9">
        <f t="shared" ref="J4:J12" si="0">CEILING(H4*0.8,10)</f>
        <v>103380</v>
      </c>
    </row>
    <row r="5" spans="1:10" ht="20.100000000000001" customHeight="1" x14ac:dyDescent="0.25">
      <c r="A5" s="133"/>
      <c r="B5" s="6" t="s">
        <v>675</v>
      </c>
      <c r="C5" s="44" t="s">
        <v>51</v>
      </c>
      <c r="D5" s="44" t="s">
        <v>53</v>
      </c>
      <c r="E5" s="44" t="s">
        <v>14</v>
      </c>
      <c r="F5" s="44" t="s">
        <v>15</v>
      </c>
      <c r="G5" s="44" t="s">
        <v>78</v>
      </c>
      <c r="H5" s="7">
        <f>CEILING(1962*USD,10)</f>
        <v>126830</v>
      </c>
      <c r="I5" s="8">
        <v>0.2</v>
      </c>
      <c r="J5" s="9">
        <f t="shared" si="0"/>
        <v>101470</v>
      </c>
    </row>
    <row r="6" spans="1:10" ht="20.100000000000001" customHeight="1" x14ac:dyDescent="0.25">
      <c r="A6" s="133"/>
      <c r="B6" s="6" t="s">
        <v>676</v>
      </c>
      <c r="C6" s="44" t="s">
        <v>52</v>
      </c>
      <c r="D6" s="44" t="s">
        <v>53</v>
      </c>
      <c r="E6" s="44" t="s">
        <v>14</v>
      </c>
      <c r="F6" s="44" t="s">
        <v>15</v>
      </c>
      <c r="G6" s="44" t="s">
        <v>78</v>
      </c>
      <c r="H6" s="7">
        <f>CEILING(2194*USD,10)</f>
        <v>141830</v>
      </c>
      <c r="I6" s="8">
        <v>0.2</v>
      </c>
      <c r="J6" s="9">
        <f t="shared" si="0"/>
        <v>113470</v>
      </c>
    </row>
    <row r="7" spans="1:10" ht="20.100000000000001" customHeight="1" x14ac:dyDescent="0.25">
      <c r="A7" s="133"/>
      <c r="B7" s="6" t="s">
        <v>677</v>
      </c>
      <c r="C7" s="44" t="s">
        <v>58</v>
      </c>
      <c r="D7" s="44" t="s">
        <v>53</v>
      </c>
      <c r="E7" s="44" t="s">
        <v>14</v>
      </c>
      <c r="F7" s="44" t="s">
        <v>15</v>
      </c>
      <c r="G7" s="44" t="s">
        <v>78</v>
      </c>
      <c r="H7" s="7">
        <f>CEILING(2420*USD,10)</f>
        <v>156430</v>
      </c>
      <c r="I7" s="8">
        <v>0.2</v>
      </c>
      <c r="J7" s="9">
        <f t="shared" si="0"/>
        <v>125150</v>
      </c>
    </row>
    <row r="8" spans="1:10" ht="20.100000000000001" customHeight="1" x14ac:dyDescent="0.25">
      <c r="A8" s="133"/>
      <c r="B8" s="6" t="s">
        <v>680</v>
      </c>
      <c r="C8" s="44" t="s">
        <v>51</v>
      </c>
      <c r="D8" s="44" t="s">
        <v>53</v>
      </c>
      <c r="E8" s="44" t="s">
        <v>14</v>
      </c>
      <c r="F8" s="44" t="s">
        <v>15</v>
      </c>
      <c r="G8" s="44" t="s">
        <v>78</v>
      </c>
      <c r="H8" s="7">
        <f>CEILING(2249*USD,10)</f>
        <v>145380</v>
      </c>
      <c r="I8" s="8">
        <v>0.2</v>
      </c>
      <c r="J8" s="9">
        <f t="shared" si="0"/>
        <v>116310</v>
      </c>
    </row>
    <row r="9" spans="1:10" ht="20.100000000000001" customHeight="1" x14ac:dyDescent="0.25">
      <c r="A9" s="133"/>
      <c r="B9" s="6" t="s">
        <v>678</v>
      </c>
      <c r="C9" s="44" t="s">
        <v>52</v>
      </c>
      <c r="D9" s="44" t="s">
        <v>53</v>
      </c>
      <c r="E9" s="44" t="s">
        <v>14</v>
      </c>
      <c r="F9" s="44" t="s">
        <v>15</v>
      </c>
      <c r="G9" s="44" t="s">
        <v>78</v>
      </c>
      <c r="H9" s="7">
        <f>CEILING(2462*USD,10)</f>
        <v>159150</v>
      </c>
      <c r="I9" s="8">
        <v>0.2</v>
      </c>
      <c r="J9" s="9">
        <f t="shared" si="0"/>
        <v>127320</v>
      </c>
    </row>
    <row r="10" spans="1:10" ht="20.100000000000001" customHeight="1" x14ac:dyDescent="0.25">
      <c r="A10" s="133"/>
      <c r="B10" s="6" t="s">
        <v>679</v>
      </c>
      <c r="C10" s="44" t="s">
        <v>58</v>
      </c>
      <c r="D10" s="44" t="s">
        <v>53</v>
      </c>
      <c r="E10" s="44" t="s">
        <v>14</v>
      </c>
      <c r="F10" s="44" t="s">
        <v>15</v>
      </c>
      <c r="G10" s="44" t="s">
        <v>78</v>
      </c>
      <c r="H10" s="7">
        <f>CEILING(2637*USD,10)</f>
        <v>170460</v>
      </c>
      <c r="I10" s="8">
        <v>0.2</v>
      </c>
      <c r="J10" s="9">
        <f t="shared" si="0"/>
        <v>136370</v>
      </c>
    </row>
    <row r="11" spans="1:10" ht="20.100000000000001" customHeight="1" x14ac:dyDescent="0.25">
      <c r="A11" s="133"/>
      <c r="B11" s="6" t="s">
        <v>671</v>
      </c>
      <c r="C11" s="44" t="s">
        <v>681</v>
      </c>
      <c r="D11" s="44" t="s">
        <v>77</v>
      </c>
      <c r="E11" s="44" t="s">
        <v>14</v>
      </c>
      <c r="F11" s="44" t="s">
        <v>15</v>
      </c>
      <c r="G11" s="44" t="s">
        <v>78</v>
      </c>
      <c r="H11" s="7">
        <f>CEILING(2895*USD,10)</f>
        <v>187140</v>
      </c>
      <c r="I11" s="8">
        <v>0.2</v>
      </c>
      <c r="J11" s="9">
        <f t="shared" si="0"/>
        <v>149720</v>
      </c>
    </row>
    <row r="12" spans="1:10" ht="20.100000000000001" customHeight="1" x14ac:dyDescent="0.25">
      <c r="A12" s="134"/>
      <c r="B12" s="6" t="s">
        <v>672</v>
      </c>
      <c r="C12" s="44" t="s">
        <v>682</v>
      </c>
      <c r="D12" s="44" t="s">
        <v>77</v>
      </c>
      <c r="E12" s="44" t="s">
        <v>14</v>
      </c>
      <c r="F12" s="44" t="s">
        <v>15</v>
      </c>
      <c r="G12" s="44" t="s">
        <v>78</v>
      </c>
      <c r="H12" s="7">
        <f>CEILING(3147*USD,10)</f>
        <v>203430</v>
      </c>
      <c r="I12" s="8">
        <v>0.2</v>
      </c>
      <c r="J12" s="9">
        <f t="shared" si="0"/>
        <v>162750</v>
      </c>
    </row>
    <row r="13" spans="1:10" ht="20.100000000000001" customHeight="1" x14ac:dyDescent="0.25">
      <c r="A13" s="139" t="s">
        <v>74</v>
      </c>
      <c r="B13" s="139"/>
      <c r="C13" s="139"/>
      <c r="D13" s="139"/>
      <c r="E13" s="139"/>
      <c r="F13" s="139"/>
      <c r="G13" s="139"/>
      <c r="H13" s="139"/>
      <c r="I13" s="139"/>
      <c r="J13" s="139"/>
    </row>
    <row r="14" spans="1:10" ht="20.100000000000001" customHeight="1" x14ac:dyDescent="0.25">
      <c r="A14" s="135" t="s">
        <v>683</v>
      </c>
      <c r="B14" s="136"/>
      <c r="C14" s="136"/>
      <c r="D14" s="136"/>
      <c r="E14" s="136"/>
      <c r="F14" s="136"/>
      <c r="G14" s="137"/>
      <c r="H14" s="9" t="s">
        <v>931</v>
      </c>
      <c r="I14" s="8" t="s">
        <v>222</v>
      </c>
      <c r="J14" s="9" t="s">
        <v>931</v>
      </c>
    </row>
    <row r="15" spans="1:10" ht="20.100000000000001" customHeight="1" x14ac:dyDescent="0.25">
      <c r="A15" s="131"/>
      <c r="B15" s="131"/>
      <c r="C15" s="131"/>
      <c r="D15" s="131"/>
      <c r="E15" s="131"/>
      <c r="F15" s="131"/>
      <c r="G15" s="131"/>
      <c r="H15" s="131"/>
      <c r="I15" s="131"/>
      <c r="J15" s="131"/>
    </row>
    <row r="16" spans="1:10" ht="30" customHeight="1" x14ac:dyDescent="0.25">
      <c r="A16" s="118" t="s">
        <v>1206</v>
      </c>
      <c r="B16" s="118"/>
      <c r="C16" s="118"/>
      <c r="D16" s="118"/>
      <c r="E16" s="118"/>
      <c r="F16" s="118"/>
      <c r="G16" s="118"/>
      <c r="H16" s="118"/>
      <c r="I16" s="118"/>
      <c r="J16" s="118"/>
    </row>
    <row r="17" spans="1:10" ht="30" customHeight="1" x14ac:dyDescent="0.25">
      <c r="A17" s="44"/>
      <c r="B17" s="39" t="s">
        <v>2</v>
      </c>
      <c r="C17" s="4" t="s">
        <v>48</v>
      </c>
      <c r="D17" s="4" t="s">
        <v>49</v>
      </c>
      <c r="E17" s="39" t="s">
        <v>9</v>
      </c>
      <c r="F17" s="39" t="s">
        <v>10</v>
      </c>
      <c r="G17" s="4" t="s">
        <v>11</v>
      </c>
      <c r="H17" s="4" t="s">
        <v>17</v>
      </c>
      <c r="I17" s="4" t="s">
        <v>12</v>
      </c>
      <c r="J17" s="4" t="s">
        <v>18</v>
      </c>
    </row>
    <row r="18" spans="1:10" ht="20.100000000000001" customHeight="1" x14ac:dyDescent="0.25">
      <c r="A18" s="132"/>
      <c r="B18" s="6" t="s">
        <v>684</v>
      </c>
      <c r="C18" s="44" t="s">
        <v>52</v>
      </c>
      <c r="D18" s="44" t="s">
        <v>54</v>
      </c>
      <c r="E18" s="44" t="s">
        <v>31</v>
      </c>
      <c r="F18" s="44" t="s">
        <v>13</v>
      </c>
      <c r="G18" s="44" t="s">
        <v>705</v>
      </c>
      <c r="H18" s="7">
        <f>CEILING(977*USD,10)</f>
        <v>63160</v>
      </c>
      <c r="I18" s="8">
        <v>0.2</v>
      </c>
      <c r="J18" s="9">
        <f>CEILING(H18*0.8,10)</f>
        <v>50530</v>
      </c>
    </row>
    <row r="19" spans="1:10" ht="20.100000000000001" customHeight="1" x14ac:dyDescent="0.25">
      <c r="A19" s="133"/>
      <c r="B19" s="6" t="s">
        <v>693</v>
      </c>
      <c r="C19" s="44" t="s">
        <v>52</v>
      </c>
      <c r="D19" s="44" t="s">
        <v>54</v>
      </c>
      <c r="E19" s="44" t="s">
        <v>31</v>
      </c>
      <c r="F19" s="44" t="s">
        <v>15</v>
      </c>
      <c r="G19" s="44" t="s">
        <v>705</v>
      </c>
      <c r="H19" s="7">
        <f>CEILING(1183*USD,10)</f>
        <v>76470</v>
      </c>
      <c r="I19" s="8">
        <v>0.2</v>
      </c>
      <c r="J19" s="9">
        <f t="shared" ref="J19:J38" si="1">CEILING(H19*0.8,10)</f>
        <v>61180</v>
      </c>
    </row>
    <row r="20" spans="1:10" ht="20.100000000000001" customHeight="1" x14ac:dyDescent="0.25">
      <c r="A20" s="133"/>
      <c r="B20" s="6" t="s">
        <v>685</v>
      </c>
      <c r="C20" s="44" t="s">
        <v>59</v>
      </c>
      <c r="D20" s="44" t="s">
        <v>54</v>
      </c>
      <c r="E20" s="44" t="s">
        <v>31</v>
      </c>
      <c r="F20" s="44" t="s">
        <v>13</v>
      </c>
      <c r="G20" s="44" t="s">
        <v>705</v>
      </c>
      <c r="H20" s="7">
        <f>CEILING(1036*USD,10)</f>
        <v>66970</v>
      </c>
      <c r="I20" s="8">
        <v>0.2</v>
      </c>
      <c r="J20" s="9">
        <f t="shared" si="1"/>
        <v>53580</v>
      </c>
    </row>
    <row r="21" spans="1:10" ht="20.100000000000001" customHeight="1" x14ac:dyDescent="0.25">
      <c r="A21" s="133"/>
      <c r="B21" s="6" t="s">
        <v>694</v>
      </c>
      <c r="C21" s="44" t="s">
        <v>59</v>
      </c>
      <c r="D21" s="44" t="s">
        <v>54</v>
      </c>
      <c r="E21" s="44" t="s">
        <v>31</v>
      </c>
      <c r="F21" s="44" t="s">
        <v>15</v>
      </c>
      <c r="G21" s="44" t="s">
        <v>705</v>
      </c>
      <c r="H21" s="7">
        <f>CEILING(1242*USD,10)</f>
        <v>80290</v>
      </c>
      <c r="I21" s="8">
        <v>0.2</v>
      </c>
      <c r="J21" s="9">
        <f t="shared" si="1"/>
        <v>64240</v>
      </c>
    </row>
    <row r="22" spans="1:10" ht="20.100000000000001" customHeight="1" x14ac:dyDescent="0.25">
      <c r="A22" s="133"/>
      <c r="B22" s="6" t="s">
        <v>687</v>
      </c>
      <c r="C22" s="44" t="s">
        <v>59</v>
      </c>
      <c r="D22" s="44" t="s">
        <v>54</v>
      </c>
      <c r="E22" s="44" t="s">
        <v>273</v>
      </c>
      <c r="F22" s="44" t="s">
        <v>13</v>
      </c>
      <c r="G22" s="44" t="s">
        <v>705</v>
      </c>
      <c r="H22" s="7">
        <f>CEILING(915*USD,10)</f>
        <v>59150</v>
      </c>
      <c r="I22" s="8">
        <v>0.2</v>
      </c>
      <c r="J22" s="9">
        <f t="shared" si="1"/>
        <v>47320</v>
      </c>
    </row>
    <row r="23" spans="1:10" ht="20.100000000000001" customHeight="1" x14ac:dyDescent="0.25">
      <c r="A23" s="133"/>
      <c r="B23" s="6" t="s">
        <v>696</v>
      </c>
      <c r="C23" s="44" t="s">
        <v>59</v>
      </c>
      <c r="D23" s="44" t="s">
        <v>54</v>
      </c>
      <c r="E23" s="44" t="s">
        <v>273</v>
      </c>
      <c r="F23" s="44" t="s">
        <v>15</v>
      </c>
      <c r="G23" s="44" t="s">
        <v>705</v>
      </c>
      <c r="H23" s="7">
        <f>CEILING(1078*USD,10)</f>
        <v>69690</v>
      </c>
      <c r="I23" s="8">
        <v>0.2</v>
      </c>
      <c r="J23" s="9">
        <f t="shared" si="1"/>
        <v>55760</v>
      </c>
    </row>
    <row r="24" spans="1:10" ht="20.100000000000001" customHeight="1" x14ac:dyDescent="0.25">
      <c r="A24" s="133"/>
      <c r="B24" s="6" t="s">
        <v>686</v>
      </c>
      <c r="C24" s="44" t="s">
        <v>103</v>
      </c>
      <c r="D24" s="44" t="s">
        <v>54</v>
      </c>
      <c r="E24" s="44" t="s">
        <v>31</v>
      </c>
      <c r="F24" s="44" t="s">
        <v>13</v>
      </c>
      <c r="G24" s="44" t="s">
        <v>705</v>
      </c>
      <c r="H24" s="7">
        <f>CEILING(1264*USD,10)</f>
        <v>81710</v>
      </c>
      <c r="I24" s="8">
        <v>0.2</v>
      </c>
      <c r="J24" s="9">
        <f t="shared" si="1"/>
        <v>65370</v>
      </c>
    </row>
    <row r="25" spans="1:10" ht="20.100000000000001" customHeight="1" x14ac:dyDescent="0.25">
      <c r="A25" s="133"/>
      <c r="B25" s="6" t="s">
        <v>703</v>
      </c>
      <c r="C25" s="44" t="s">
        <v>103</v>
      </c>
      <c r="D25" s="44" t="s">
        <v>54</v>
      </c>
      <c r="E25" s="44" t="s">
        <v>31</v>
      </c>
      <c r="F25" s="44" t="s">
        <v>15</v>
      </c>
      <c r="G25" s="44" t="s">
        <v>705</v>
      </c>
      <c r="H25" s="7">
        <f>CEILING(1447*USD,10)</f>
        <v>93540</v>
      </c>
      <c r="I25" s="8">
        <v>0.2</v>
      </c>
      <c r="J25" s="9">
        <f t="shared" si="1"/>
        <v>74840</v>
      </c>
    </row>
    <row r="26" spans="1:10" ht="20.100000000000001" customHeight="1" x14ac:dyDescent="0.25">
      <c r="A26" s="133"/>
      <c r="B26" s="6" t="s">
        <v>695</v>
      </c>
      <c r="C26" s="44" t="s">
        <v>103</v>
      </c>
      <c r="D26" s="44" t="s">
        <v>54</v>
      </c>
      <c r="E26" s="44" t="s">
        <v>14</v>
      </c>
      <c r="F26" s="44" t="s">
        <v>15</v>
      </c>
      <c r="G26" s="44" t="s">
        <v>705</v>
      </c>
      <c r="H26" s="7">
        <f>CEILING(1521*USD,10)</f>
        <v>98320</v>
      </c>
      <c r="I26" s="8">
        <v>0.2</v>
      </c>
      <c r="J26" s="9">
        <f t="shared" si="1"/>
        <v>78660</v>
      </c>
    </row>
    <row r="27" spans="1:10" ht="20.100000000000001" customHeight="1" x14ac:dyDescent="0.25">
      <c r="A27" s="133"/>
      <c r="B27" s="6" t="s">
        <v>688</v>
      </c>
      <c r="C27" s="44" t="s">
        <v>104</v>
      </c>
      <c r="D27" s="44" t="s">
        <v>55</v>
      </c>
      <c r="E27" s="44" t="s">
        <v>31</v>
      </c>
      <c r="F27" s="44" t="s">
        <v>13</v>
      </c>
      <c r="G27" s="44" t="s">
        <v>705</v>
      </c>
      <c r="H27" s="7">
        <f>CEILING(977*USD,10)</f>
        <v>63160</v>
      </c>
      <c r="I27" s="8">
        <v>0.2</v>
      </c>
      <c r="J27" s="9">
        <f t="shared" si="1"/>
        <v>50530</v>
      </c>
    </row>
    <row r="28" spans="1:10" ht="20.100000000000001" customHeight="1" x14ac:dyDescent="0.25">
      <c r="A28" s="133"/>
      <c r="B28" s="6" t="s">
        <v>697</v>
      </c>
      <c r="C28" s="44" t="s">
        <v>104</v>
      </c>
      <c r="D28" s="44" t="s">
        <v>55</v>
      </c>
      <c r="E28" s="44" t="s">
        <v>31</v>
      </c>
      <c r="F28" s="44" t="s">
        <v>15</v>
      </c>
      <c r="G28" s="44" t="s">
        <v>705</v>
      </c>
      <c r="H28" s="7">
        <f>CEILING(1046*USD,10)</f>
        <v>67620</v>
      </c>
      <c r="I28" s="8">
        <v>0.2</v>
      </c>
      <c r="J28" s="9">
        <f t="shared" si="1"/>
        <v>54100</v>
      </c>
    </row>
    <row r="29" spans="1:10" ht="20.100000000000001" customHeight="1" x14ac:dyDescent="0.25">
      <c r="A29" s="133"/>
      <c r="B29" s="6" t="s">
        <v>689</v>
      </c>
      <c r="C29" s="44" t="s">
        <v>64</v>
      </c>
      <c r="D29" s="44" t="s">
        <v>55</v>
      </c>
      <c r="E29" s="44" t="s">
        <v>31</v>
      </c>
      <c r="F29" s="44" t="s">
        <v>13</v>
      </c>
      <c r="G29" s="44" t="s">
        <v>706</v>
      </c>
      <c r="H29" s="7">
        <f>CEILING(977*USD,10)</f>
        <v>63160</v>
      </c>
      <c r="I29" s="8">
        <v>0.2</v>
      </c>
      <c r="J29" s="9">
        <f t="shared" si="1"/>
        <v>50530</v>
      </c>
    </row>
    <row r="30" spans="1:10" ht="20.100000000000001" customHeight="1" x14ac:dyDescent="0.25">
      <c r="A30" s="133"/>
      <c r="B30" s="6" t="s">
        <v>698</v>
      </c>
      <c r="C30" s="44" t="s">
        <v>64</v>
      </c>
      <c r="D30" s="44" t="s">
        <v>55</v>
      </c>
      <c r="E30" s="44" t="s">
        <v>31</v>
      </c>
      <c r="F30" s="44" t="s">
        <v>15</v>
      </c>
      <c r="G30" s="44" t="s">
        <v>706</v>
      </c>
      <c r="H30" s="7">
        <f>CEILING(1093*USD,10)</f>
        <v>70660</v>
      </c>
      <c r="I30" s="8">
        <v>0.2</v>
      </c>
      <c r="J30" s="9">
        <f t="shared" si="1"/>
        <v>56530</v>
      </c>
    </row>
    <row r="31" spans="1:10" ht="20.100000000000001" customHeight="1" x14ac:dyDescent="0.25">
      <c r="A31" s="133"/>
      <c r="B31" s="6" t="s">
        <v>690</v>
      </c>
      <c r="C31" s="44" t="s">
        <v>106</v>
      </c>
      <c r="D31" s="44" t="s">
        <v>55</v>
      </c>
      <c r="E31" s="44" t="s">
        <v>31</v>
      </c>
      <c r="F31" s="44" t="s">
        <v>13</v>
      </c>
      <c r="G31" s="44" t="s">
        <v>706</v>
      </c>
      <c r="H31" s="7">
        <f>CEILING(1051*USD,10)</f>
        <v>67940</v>
      </c>
      <c r="I31" s="8">
        <v>0.2</v>
      </c>
      <c r="J31" s="9">
        <f t="shared" si="1"/>
        <v>54360</v>
      </c>
    </row>
    <row r="32" spans="1:10" ht="20.100000000000001" customHeight="1" x14ac:dyDescent="0.25">
      <c r="A32" s="133"/>
      <c r="B32" s="6" t="s">
        <v>699</v>
      </c>
      <c r="C32" s="44" t="s">
        <v>106</v>
      </c>
      <c r="D32" s="44" t="s">
        <v>55</v>
      </c>
      <c r="E32" s="44" t="s">
        <v>31</v>
      </c>
      <c r="F32" s="44" t="s">
        <v>15</v>
      </c>
      <c r="G32" s="44" t="s">
        <v>706</v>
      </c>
      <c r="H32" s="7">
        <f>CEILING(1210*USD,10)</f>
        <v>78220</v>
      </c>
      <c r="I32" s="8">
        <v>0.2</v>
      </c>
      <c r="J32" s="9">
        <f t="shared" si="1"/>
        <v>62580</v>
      </c>
    </row>
    <row r="33" spans="1:10" ht="20.100000000000001" customHeight="1" x14ac:dyDescent="0.25">
      <c r="A33" s="133"/>
      <c r="B33" s="6" t="s">
        <v>701</v>
      </c>
      <c r="C33" s="44" t="s">
        <v>106</v>
      </c>
      <c r="D33" s="44" t="s">
        <v>56</v>
      </c>
      <c r="E33" s="44" t="s">
        <v>273</v>
      </c>
      <c r="F33" s="44" t="s">
        <v>15</v>
      </c>
      <c r="G33" s="44" t="s">
        <v>706</v>
      </c>
      <c r="H33" s="7">
        <f>CEILING(1164*USD,10)</f>
        <v>75250</v>
      </c>
      <c r="I33" s="8">
        <v>0.2</v>
      </c>
      <c r="J33" s="9">
        <f t="shared" si="1"/>
        <v>60200</v>
      </c>
    </row>
    <row r="34" spans="1:10" ht="20.100000000000001" customHeight="1" x14ac:dyDescent="0.25">
      <c r="A34" s="133"/>
      <c r="B34" s="6" t="s">
        <v>691</v>
      </c>
      <c r="C34" s="44" t="s">
        <v>107</v>
      </c>
      <c r="D34" s="44" t="s">
        <v>55</v>
      </c>
      <c r="E34" s="44" t="s">
        <v>31</v>
      </c>
      <c r="F34" s="44" t="s">
        <v>13</v>
      </c>
      <c r="G34" s="44" t="s">
        <v>706</v>
      </c>
      <c r="H34" s="7">
        <f>CEILING(1293*USD,10)</f>
        <v>83580</v>
      </c>
      <c r="I34" s="8">
        <v>0.2</v>
      </c>
      <c r="J34" s="9">
        <f t="shared" si="1"/>
        <v>66870</v>
      </c>
    </row>
    <row r="35" spans="1:10" ht="20.100000000000001" customHeight="1" x14ac:dyDescent="0.25">
      <c r="A35" s="133"/>
      <c r="B35" s="6" t="s">
        <v>704</v>
      </c>
      <c r="C35" s="44" t="s">
        <v>107</v>
      </c>
      <c r="D35" s="44" t="s">
        <v>55</v>
      </c>
      <c r="E35" s="44" t="s">
        <v>31</v>
      </c>
      <c r="F35" s="44" t="s">
        <v>15</v>
      </c>
      <c r="G35" s="44" t="s">
        <v>706</v>
      </c>
      <c r="H35" s="7">
        <f>CEILING(1500*USD,10)</f>
        <v>96960</v>
      </c>
      <c r="I35" s="8">
        <v>0.2</v>
      </c>
      <c r="J35" s="9">
        <f t="shared" si="1"/>
        <v>77570</v>
      </c>
    </row>
    <row r="36" spans="1:10" ht="20.100000000000001" customHeight="1" x14ac:dyDescent="0.25">
      <c r="A36" s="133"/>
      <c r="B36" s="6" t="s">
        <v>700</v>
      </c>
      <c r="C36" s="44" t="s">
        <v>107</v>
      </c>
      <c r="D36" s="44" t="s">
        <v>55</v>
      </c>
      <c r="E36" s="44" t="s">
        <v>14</v>
      </c>
      <c r="F36" s="44" t="s">
        <v>15</v>
      </c>
      <c r="G36" s="44" t="s">
        <v>706</v>
      </c>
      <c r="H36" s="7">
        <f>CEILING(1490*USD,10)</f>
        <v>96320</v>
      </c>
      <c r="I36" s="8">
        <v>0.2</v>
      </c>
      <c r="J36" s="9">
        <f t="shared" si="1"/>
        <v>77060</v>
      </c>
    </row>
    <row r="37" spans="1:10" ht="20.100000000000001" customHeight="1" x14ac:dyDescent="0.25">
      <c r="A37" s="133"/>
      <c r="B37" s="6" t="s">
        <v>692</v>
      </c>
      <c r="C37" s="44" t="s">
        <v>108</v>
      </c>
      <c r="D37" s="44" t="s">
        <v>56</v>
      </c>
      <c r="E37" s="44" t="s">
        <v>31</v>
      </c>
      <c r="F37" s="44" t="s">
        <v>13</v>
      </c>
      <c r="G37" s="44" t="s">
        <v>706</v>
      </c>
      <c r="H37" s="7">
        <f>CEILING(1036*USD,10)</f>
        <v>66970</v>
      </c>
      <c r="I37" s="8">
        <v>0.2</v>
      </c>
      <c r="J37" s="9">
        <f t="shared" si="1"/>
        <v>53580</v>
      </c>
    </row>
    <row r="38" spans="1:10" ht="20.100000000000001" customHeight="1" x14ac:dyDescent="0.25">
      <c r="A38" s="133"/>
      <c r="B38" s="6" t="s">
        <v>702</v>
      </c>
      <c r="C38" s="44" t="s">
        <v>108</v>
      </c>
      <c r="D38" s="44" t="s">
        <v>56</v>
      </c>
      <c r="E38" s="44" t="s">
        <v>31</v>
      </c>
      <c r="F38" s="44" t="s">
        <v>15</v>
      </c>
      <c r="G38" s="44" t="s">
        <v>706</v>
      </c>
      <c r="H38" s="7">
        <f>CEILING(1176*USD,10)</f>
        <v>76020</v>
      </c>
      <c r="I38" s="8">
        <v>0.2</v>
      </c>
      <c r="J38" s="9">
        <f t="shared" si="1"/>
        <v>60820</v>
      </c>
    </row>
    <row r="39" spans="1:10" ht="20.100000000000001" customHeight="1" x14ac:dyDescent="0.25">
      <c r="A39" s="131"/>
      <c r="B39" s="131"/>
      <c r="C39" s="131"/>
      <c r="D39" s="131"/>
      <c r="E39" s="131"/>
      <c r="F39" s="131"/>
      <c r="G39" s="131"/>
      <c r="H39" s="131"/>
      <c r="I39" s="131"/>
      <c r="J39" s="131"/>
    </row>
    <row r="40" spans="1:10" ht="30" customHeight="1" x14ac:dyDescent="0.25">
      <c r="A40" s="118" t="s">
        <v>1129</v>
      </c>
      <c r="B40" s="118"/>
      <c r="C40" s="118"/>
      <c r="D40" s="118"/>
      <c r="E40" s="118"/>
      <c r="F40" s="118"/>
      <c r="G40" s="118"/>
      <c r="H40" s="118"/>
      <c r="I40" s="118"/>
      <c r="J40" s="118"/>
    </row>
    <row r="41" spans="1:10" ht="30" customHeight="1" x14ac:dyDescent="0.25">
      <c r="A41" s="44"/>
      <c r="B41" s="39" t="s">
        <v>2</v>
      </c>
      <c r="C41" s="4" t="s">
        <v>48</v>
      </c>
      <c r="D41" s="4" t="s">
        <v>49</v>
      </c>
      <c r="E41" s="39" t="s">
        <v>9</v>
      </c>
      <c r="F41" s="39" t="s">
        <v>10</v>
      </c>
      <c r="G41" s="4" t="s">
        <v>11</v>
      </c>
      <c r="H41" s="4" t="s">
        <v>17</v>
      </c>
      <c r="I41" s="4" t="s">
        <v>12</v>
      </c>
      <c r="J41" s="4" t="s">
        <v>18</v>
      </c>
    </row>
    <row r="42" spans="1:10" ht="35.1" customHeight="1" x14ac:dyDescent="0.25">
      <c r="A42" s="132"/>
      <c r="B42" s="6" t="s">
        <v>707</v>
      </c>
      <c r="C42" s="44" t="s">
        <v>232</v>
      </c>
      <c r="D42" s="44" t="s">
        <v>219</v>
      </c>
      <c r="E42" s="44" t="s">
        <v>1070</v>
      </c>
      <c r="F42" s="44" t="s">
        <v>13</v>
      </c>
      <c r="G42" s="15" t="s">
        <v>296</v>
      </c>
      <c r="H42" s="7">
        <f>CEILING(272*USD,10)</f>
        <v>17590</v>
      </c>
      <c r="I42" s="8">
        <v>0.2</v>
      </c>
      <c r="J42" s="9">
        <f>CEILING(H42*0.8,10)</f>
        <v>14080</v>
      </c>
    </row>
    <row r="43" spans="1:10" ht="35.1" customHeight="1" x14ac:dyDescent="0.25">
      <c r="A43" s="133"/>
      <c r="B43" s="6" t="s">
        <v>708</v>
      </c>
      <c r="C43" s="44" t="s">
        <v>233</v>
      </c>
      <c r="D43" s="44" t="s">
        <v>55</v>
      </c>
      <c r="E43" s="44" t="s">
        <v>1070</v>
      </c>
      <c r="F43" s="44" t="s">
        <v>13</v>
      </c>
      <c r="G43" s="15" t="s">
        <v>296</v>
      </c>
      <c r="H43" s="7">
        <f>CEILING(272*USD,10)</f>
        <v>17590</v>
      </c>
      <c r="I43" s="8">
        <v>0.2</v>
      </c>
      <c r="J43" s="9">
        <f t="shared" ref="J43:J48" si="2">CEILING(H43*0.8,10)</f>
        <v>14080</v>
      </c>
    </row>
    <row r="44" spans="1:10" ht="35.1" customHeight="1" x14ac:dyDescent="0.25">
      <c r="A44" s="133"/>
      <c r="B44" s="6" t="s">
        <v>709</v>
      </c>
      <c r="C44" s="44" t="s">
        <v>233</v>
      </c>
      <c r="D44" s="44" t="s">
        <v>219</v>
      </c>
      <c r="E44" s="44" t="s">
        <v>1070</v>
      </c>
      <c r="F44" s="44" t="s">
        <v>13</v>
      </c>
      <c r="G44" s="15" t="s">
        <v>296</v>
      </c>
      <c r="H44" s="7">
        <f>CEILING(306*USD,10)</f>
        <v>19780</v>
      </c>
      <c r="I44" s="8">
        <v>0.2</v>
      </c>
      <c r="J44" s="9">
        <f t="shared" si="2"/>
        <v>15830</v>
      </c>
    </row>
    <row r="45" spans="1:10" ht="35.1" customHeight="1" x14ac:dyDescent="0.25">
      <c r="A45" s="133"/>
      <c r="B45" s="6" t="s">
        <v>710</v>
      </c>
      <c r="C45" s="44" t="s">
        <v>234</v>
      </c>
      <c r="D45" s="44" t="s">
        <v>220</v>
      </c>
      <c r="E45" s="44" t="s">
        <v>1070</v>
      </c>
      <c r="F45" s="44" t="s">
        <v>13</v>
      </c>
      <c r="G45" s="15" t="s">
        <v>296</v>
      </c>
      <c r="H45" s="7">
        <f>CEILING(272*USD,10)</f>
        <v>17590</v>
      </c>
      <c r="I45" s="8">
        <v>0.2</v>
      </c>
      <c r="J45" s="9">
        <f t="shared" si="2"/>
        <v>14080</v>
      </c>
    </row>
    <row r="46" spans="1:10" ht="35.1" customHeight="1" x14ac:dyDescent="0.25">
      <c r="A46" s="133"/>
      <c r="B46" s="6" t="s">
        <v>711</v>
      </c>
      <c r="C46" s="44" t="s">
        <v>186</v>
      </c>
      <c r="D46" s="44" t="s">
        <v>221</v>
      </c>
      <c r="E46" s="44" t="s">
        <v>1070</v>
      </c>
      <c r="F46" s="44" t="s">
        <v>13</v>
      </c>
      <c r="G46" s="15" t="s">
        <v>714</v>
      </c>
      <c r="H46" s="7">
        <f>CEILING(272*USD,10)</f>
        <v>17590</v>
      </c>
      <c r="I46" s="8">
        <v>0.2</v>
      </c>
      <c r="J46" s="9">
        <f t="shared" si="2"/>
        <v>14080</v>
      </c>
    </row>
    <row r="47" spans="1:10" ht="35.1" customHeight="1" x14ac:dyDescent="0.25">
      <c r="A47" s="133"/>
      <c r="B47" s="6" t="s">
        <v>712</v>
      </c>
      <c r="C47" s="44" t="s">
        <v>235</v>
      </c>
      <c r="D47" s="44" t="s">
        <v>56</v>
      </c>
      <c r="E47" s="44" t="s">
        <v>1070</v>
      </c>
      <c r="F47" s="44" t="s">
        <v>13</v>
      </c>
      <c r="G47" s="15" t="s">
        <v>714</v>
      </c>
      <c r="H47" s="7">
        <f>CEILING(272*USD,10)</f>
        <v>17590</v>
      </c>
      <c r="I47" s="8">
        <v>0.2</v>
      </c>
      <c r="J47" s="9">
        <f t="shared" si="2"/>
        <v>14080</v>
      </c>
    </row>
    <row r="48" spans="1:10" ht="35.1" customHeight="1" x14ac:dyDescent="0.25">
      <c r="A48" s="133"/>
      <c r="B48" s="6" t="s">
        <v>713</v>
      </c>
      <c r="C48" s="44" t="s">
        <v>235</v>
      </c>
      <c r="D48" s="44" t="s">
        <v>221</v>
      </c>
      <c r="E48" s="44" t="s">
        <v>1070</v>
      </c>
      <c r="F48" s="44" t="s">
        <v>13</v>
      </c>
      <c r="G48" s="15" t="s">
        <v>714</v>
      </c>
      <c r="H48" s="7">
        <f>CEILING(306*USD,10)</f>
        <v>19780</v>
      </c>
      <c r="I48" s="8">
        <v>0.2</v>
      </c>
      <c r="J48" s="9">
        <f t="shared" si="2"/>
        <v>15830</v>
      </c>
    </row>
    <row r="49" spans="1:10" ht="20.100000000000001" customHeight="1" x14ac:dyDescent="0.25">
      <c r="A49" s="131"/>
      <c r="B49" s="131"/>
      <c r="C49" s="131"/>
      <c r="D49" s="131"/>
      <c r="E49" s="131"/>
      <c r="F49" s="131"/>
      <c r="G49" s="131"/>
      <c r="H49" s="131"/>
      <c r="I49" s="131"/>
      <c r="J49" s="131"/>
    </row>
    <row r="50" spans="1:10" ht="30" customHeight="1" x14ac:dyDescent="0.25">
      <c r="A50" s="118" t="s">
        <v>1437</v>
      </c>
      <c r="B50" s="118"/>
      <c r="C50" s="118"/>
      <c r="D50" s="118"/>
      <c r="E50" s="118"/>
      <c r="F50" s="118"/>
      <c r="G50" s="118"/>
      <c r="H50" s="118"/>
      <c r="I50" s="118"/>
      <c r="J50" s="118"/>
    </row>
    <row r="51" spans="1:10" ht="30" customHeight="1" x14ac:dyDescent="0.25">
      <c r="A51" s="54"/>
      <c r="B51" s="39" t="s">
        <v>2</v>
      </c>
      <c r="C51" s="4" t="s">
        <v>48</v>
      </c>
      <c r="D51" s="4" t="s">
        <v>49</v>
      </c>
      <c r="E51" s="39" t="s">
        <v>9</v>
      </c>
      <c r="F51" s="39" t="s">
        <v>10</v>
      </c>
      <c r="G51" s="4" t="s">
        <v>11</v>
      </c>
      <c r="H51" s="4" t="s">
        <v>17</v>
      </c>
      <c r="I51" s="4" t="s">
        <v>12</v>
      </c>
      <c r="J51" s="4" t="s">
        <v>18</v>
      </c>
    </row>
    <row r="52" spans="1:10" ht="24.95" customHeight="1" x14ac:dyDescent="0.25">
      <c r="A52" s="124"/>
      <c r="B52" s="6" t="s">
        <v>1438</v>
      </c>
      <c r="C52" s="54" t="s">
        <v>233</v>
      </c>
      <c r="D52" s="54" t="s">
        <v>219</v>
      </c>
      <c r="E52" s="54" t="s">
        <v>31</v>
      </c>
      <c r="F52" s="54" t="s">
        <v>13</v>
      </c>
      <c r="G52" s="54" t="s">
        <v>1444</v>
      </c>
      <c r="H52" s="25">
        <f>CEILING(280*USD,10)</f>
        <v>18100</v>
      </c>
      <c r="I52" s="8">
        <v>0.2</v>
      </c>
      <c r="J52" s="9">
        <f>CEILING(H52*0.8,10)</f>
        <v>14480</v>
      </c>
    </row>
    <row r="53" spans="1:10" ht="24.95" customHeight="1" x14ac:dyDescent="0.25">
      <c r="A53" s="124"/>
      <c r="B53" s="6" t="s">
        <v>1439</v>
      </c>
      <c r="C53" s="54" t="s">
        <v>234</v>
      </c>
      <c r="D53" s="54" t="s">
        <v>55</v>
      </c>
      <c r="E53" s="54" t="s">
        <v>31</v>
      </c>
      <c r="F53" s="54" t="s">
        <v>13</v>
      </c>
      <c r="G53" s="54" t="s">
        <v>1444</v>
      </c>
      <c r="H53" s="25">
        <f>CEILING(280*USD,10)</f>
        <v>18100</v>
      </c>
      <c r="I53" s="8">
        <v>0.2</v>
      </c>
      <c r="J53" s="9">
        <f>CEILING(H53*0.8,10)</f>
        <v>14480</v>
      </c>
    </row>
    <row r="54" spans="1:10" ht="24.95" customHeight="1" x14ac:dyDescent="0.25">
      <c r="A54" s="124"/>
      <c r="B54" s="6" t="s">
        <v>1440</v>
      </c>
      <c r="C54" s="54" t="s">
        <v>186</v>
      </c>
      <c r="D54" s="54" t="s">
        <v>220</v>
      </c>
      <c r="E54" s="54" t="s">
        <v>31</v>
      </c>
      <c r="F54" s="54" t="s">
        <v>13</v>
      </c>
      <c r="G54" s="15" t="s">
        <v>1445</v>
      </c>
      <c r="H54" s="25">
        <f>CEILING(280*USD,10)</f>
        <v>18100</v>
      </c>
      <c r="I54" s="8">
        <v>0.2</v>
      </c>
      <c r="J54" s="9">
        <f>CEILING(H54*0.8,10)</f>
        <v>14480</v>
      </c>
    </row>
    <row r="55" spans="1:10" ht="24.95" customHeight="1" x14ac:dyDescent="0.25">
      <c r="A55" s="124"/>
      <c r="B55" s="6" t="s">
        <v>1441</v>
      </c>
      <c r="C55" s="54" t="s">
        <v>235</v>
      </c>
      <c r="D55" s="54" t="s">
        <v>221</v>
      </c>
      <c r="E55" s="54" t="s">
        <v>31</v>
      </c>
      <c r="F55" s="54" t="s">
        <v>13</v>
      </c>
      <c r="G55" s="15" t="s">
        <v>1445</v>
      </c>
      <c r="H55" s="25">
        <f>CEILING(280*USD,10)</f>
        <v>18100</v>
      </c>
      <c r="I55" s="8">
        <v>0.2</v>
      </c>
      <c r="J55" s="9">
        <f>CEILING(H55*0.8,10)</f>
        <v>14480</v>
      </c>
    </row>
    <row r="56" spans="1:10" ht="24.95" customHeight="1" x14ac:dyDescent="0.25">
      <c r="A56" s="124"/>
      <c r="B56" s="6" t="s">
        <v>1442</v>
      </c>
      <c r="C56" s="54" t="s">
        <v>183</v>
      </c>
      <c r="D56" s="54" t="s">
        <v>56</v>
      </c>
      <c r="E56" s="54" t="s">
        <v>31</v>
      </c>
      <c r="F56" s="54" t="s">
        <v>13</v>
      </c>
      <c r="G56" s="15" t="s">
        <v>1445</v>
      </c>
      <c r="H56" s="25">
        <f>CEILING(280*USD,10)</f>
        <v>18100</v>
      </c>
      <c r="I56" s="8">
        <v>0.2</v>
      </c>
      <c r="J56" s="9">
        <f>CEILING(H56*0.8,10)</f>
        <v>14480</v>
      </c>
    </row>
    <row r="57" spans="1:10" ht="20.100000000000001" customHeight="1" x14ac:dyDescent="0.25">
      <c r="A57" s="139" t="s">
        <v>74</v>
      </c>
      <c r="B57" s="139"/>
      <c r="C57" s="139"/>
      <c r="D57" s="139"/>
      <c r="E57" s="139"/>
      <c r="F57" s="139"/>
      <c r="G57" s="139"/>
      <c r="H57" s="139"/>
      <c r="I57" s="139"/>
      <c r="J57" s="139"/>
    </row>
    <row r="58" spans="1:10" ht="20.100000000000001" customHeight="1" x14ac:dyDescent="0.25">
      <c r="A58" s="135" t="s">
        <v>1443</v>
      </c>
      <c r="B58" s="136"/>
      <c r="C58" s="136"/>
      <c r="D58" s="136"/>
      <c r="E58" s="136"/>
      <c r="F58" s="136"/>
      <c r="G58" s="137"/>
      <c r="H58" s="25">
        <f>CEILING(61*USD,10)</f>
        <v>3950</v>
      </c>
      <c r="I58" s="8">
        <v>0.1</v>
      </c>
      <c r="J58" s="9">
        <f>CEILING(H58*0.9,10)</f>
        <v>3560</v>
      </c>
    </row>
    <row r="59" spans="1:10" ht="20.100000000000001" customHeight="1" x14ac:dyDescent="0.25">
      <c r="A59" s="131"/>
      <c r="B59" s="131"/>
      <c r="C59" s="131"/>
      <c r="D59" s="131"/>
      <c r="E59" s="131"/>
      <c r="F59" s="131"/>
      <c r="G59" s="131"/>
      <c r="H59" s="131"/>
      <c r="I59" s="131"/>
      <c r="J59" s="131"/>
    </row>
    <row r="60" spans="1:10" ht="30" customHeight="1" x14ac:dyDescent="0.25">
      <c r="A60" s="118" t="s">
        <v>1207</v>
      </c>
      <c r="B60" s="118"/>
      <c r="C60" s="118"/>
      <c r="D60" s="118"/>
      <c r="E60" s="118"/>
      <c r="F60" s="118"/>
      <c r="G60" s="118"/>
      <c r="H60" s="118"/>
      <c r="I60" s="118"/>
      <c r="J60" s="118"/>
    </row>
    <row r="61" spans="1:10" ht="30" customHeight="1" x14ac:dyDescent="0.25">
      <c r="A61" s="44"/>
      <c r="B61" s="39" t="s">
        <v>2</v>
      </c>
      <c r="C61" s="4" t="s">
        <v>48</v>
      </c>
      <c r="D61" s="4" t="s">
        <v>49</v>
      </c>
      <c r="E61" s="39" t="s">
        <v>9</v>
      </c>
      <c r="F61" s="39" t="s">
        <v>10</v>
      </c>
      <c r="G61" s="4" t="s">
        <v>11</v>
      </c>
      <c r="H61" s="4" t="s">
        <v>17</v>
      </c>
      <c r="I61" s="4" t="s">
        <v>12</v>
      </c>
      <c r="J61" s="4" t="s">
        <v>18</v>
      </c>
    </row>
    <row r="62" spans="1:10" ht="30" customHeight="1" x14ac:dyDescent="0.25">
      <c r="A62" s="124"/>
      <c r="B62" s="6" t="s">
        <v>715</v>
      </c>
      <c r="C62" s="44" t="s">
        <v>52</v>
      </c>
      <c r="D62" s="44" t="s">
        <v>54</v>
      </c>
      <c r="E62" s="44" t="s">
        <v>1070</v>
      </c>
      <c r="F62" s="44" t="s">
        <v>13</v>
      </c>
      <c r="G62" s="15" t="s">
        <v>719</v>
      </c>
      <c r="H62" s="25">
        <f>CEILING(711*USD,10)</f>
        <v>45960</v>
      </c>
      <c r="I62" s="8">
        <v>0.2</v>
      </c>
      <c r="J62" s="9">
        <f>CEILING(H62*0.8,10)</f>
        <v>36770</v>
      </c>
    </row>
    <row r="63" spans="1:10" ht="30" customHeight="1" x14ac:dyDescent="0.25">
      <c r="A63" s="124"/>
      <c r="B63" s="6" t="s">
        <v>716</v>
      </c>
      <c r="C63" s="44" t="s">
        <v>58</v>
      </c>
      <c r="D63" s="44" t="s">
        <v>54</v>
      </c>
      <c r="E63" s="44" t="s">
        <v>1070</v>
      </c>
      <c r="F63" s="44" t="s">
        <v>13</v>
      </c>
      <c r="G63" s="15" t="s">
        <v>719</v>
      </c>
      <c r="H63" s="25">
        <f>CEILING(757*USD,10)</f>
        <v>48940</v>
      </c>
      <c r="I63" s="8">
        <v>0.2</v>
      </c>
      <c r="J63" s="9">
        <f>CEILING(H63*0.8,10)</f>
        <v>39160</v>
      </c>
    </row>
    <row r="64" spans="1:10" ht="30" customHeight="1" x14ac:dyDescent="0.25">
      <c r="A64" s="124"/>
      <c r="B64" s="6" t="s">
        <v>717</v>
      </c>
      <c r="C64" s="44" t="s">
        <v>64</v>
      </c>
      <c r="D64" s="44" t="s">
        <v>55</v>
      </c>
      <c r="E64" s="44" t="s">
        <v>1070</v>
      </c>
      <c r="F64" s="44" t="s">
        <v>13</v>
      </c>
      <c r="G64" s="15" t="s">
        <v>720</v>
      </c>
      <c r="H64" s="25">
        <f>CEILING(711*USD,10)</f>
        <v>45960</v>
      </c>
      <c r="I64" s="8">
        <v>0.2</v>
      </c>
      <c r="J64" s="9">
        <f>CEILING(H64*0.8,10)</f>
        <v>36770</v>
      </c>
    </row>
    <row r="65" spans="1:10" ht="30" customHeight="1" x14ac:dyDescent="0.25">
      <c r="A65" s="124"/>
      <c r="B65" s="6" t="s">
        <v>718</v>
      </c>
      <c r="C65" s="44" t="s">
        <v>105</v>
      </c>
      <c r="D65" s="44" t="s">
        <v>55</v>
      </c>
      <c r="E65" s="44" t="s">
        <v>1070</v>
      </c>
      <c r="F65" s="44" t="s">
        <v>13</v>
      </c>
      <c r="G65" s="15" t="s">
        <v>720</v>
      </c>
      <c r="H65" s="25">
        <f>CEILING(757*USD,10)</f>
        <v>48940</v>
      </c>
      <c r="I65" s="8">
        <v>0.2</v>
      </c>
      <c r="J65" s="9">
        <f>CEILING(H65*0.8,10)</f>
        <v>39160</v>
      </c>
    </row>
    <row r="66" spans="1:10" ht="20.100000000000001" customHeight="1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</row>
    <row r="67" spans="1:10" ht="30" customHeight="1" x14ac:dyDescent="0.25">
      <c r="A67" s="118" t="s">
        <v>1208</v>
      </c>
      <c r="B67" s="118"/>
      <c r="C67" s="118"/>
      <c r="D67" s="118"/>
      <c r="E67" s="118"/>
      <c r="F67" s="118"/>
      <c r="G67" s="118"/>
      <c r="H67" s="118"/>
      <c r="I67" s="118"/>
      <c r="J67" s="118"/>
    </row>
    <row r="68" spans="1:10" ht="30" customHeight="1" x14ac:dyDescent="0.25">
      <c r="A68" s="44"/>
      <c r="B68" s="39" t="s">
        <v>2</v>
      </c>
      <c r="C68" s="4" t="s">
        <v>48</v>
      </c>
      <c r="D68" s="4" t="s">
        <v>49</v>
      </c>
      <c r="E68" s="39" t="s">
        <v>9</v>
      </c>
      <c r="F68" s="39" t="s">
        <v>10</v>
      </c>
      <c r="G68" s="4" t="s">
        <v>11</v>
      </c>
      <c r="H68" s="4" t="s">
        <v>17</v>
      </c>
      <c r="I68" s="4" t="s">
        <v>12</v>
      </c>
      <c r="J68" s="4" t="s">
        <v>18</v>
      </c>
    </row>
    <row r="69" spans="1:10" ht="24.95" customHeight="1" x14ac:dyDescent="0.25">
      <c r="A69" s="124"/>
      <c r="B69" s="6" t="s">
        <v>724</v>
      </c>
      <c r="C69" s="44" t="s">
        <v>726</v>
      </c>
      <c r="D69" s="44" t="s">
        <v>57</v>
      </c>
      <c r="E69" s="44" t="s">
        <v>1070</v>
      </c>
      <c r="F69" s="44" t="s">
        <v>13</v>
      </c>
      <c r="G69" s="15" t="s">
        <v>728</v>
      </c>
      <c r="H69" s="25">
        <f>CEILING(1879*USD,10)</f>
        <v>121460</v>
      </c>
      <c r="I69" s="8">
        <v>0.2</v>
      </c>
      <c r="J69" s="9">
        <f>CEILING(H69*0.8,10)</f>
        <v>97170</v>
      </c>
    </row>
    <row r="70" spans="1:10" ht="24.95" customHeight="1" x14ac:dyDescent="0.25">
      <c r="A70" s="124"/>
      <c r="B70" s="6" t="s">
        <v>725</v>
      </c>
      <c r="C70" s="44" t="s">
        <v>727</v>
      </c>
      <c r="D70" s="44" t="s">
        <v>57</v>
      </c>
      <c r="E70" s="44" t="s">
        <v>1070</v>
      </c>
      <c r="F70" s="44" t="s">
        <v>13</v>
      </c>
      <c r="G70" s="15" t="s">
        <v>728</v>
      </c>
      <c r="H70" s="25">
        <f>CEILING(2009*USD,10)</f>
        <v>129870</v>
      </c>
      <c r="I70" s="8">
        <v>0.2</v>
      </c>
      <c r="J70" s="9">
        <f>CEILING(H70*0.8,10)</f>
        <v>103900</v>
      </c>
    </row>
    <row r="71" spans="1:10" ht="24.95" customHeight="1" x14ac:dyDescent="0.25">
      <c r="A71" s="124"/>
      <c r="B71" s="6" t="s">
        <v>721</v>
      </c>
      <c r="C71" s="44" t="s">
        <v>109</v>
      </c>
      <c r="D71" s="44" t="s">
        <v>56</v>
      </c>
      <c r="E71" s="44" t="s">
        <v>1070</v>
      </c>
      <c r="F71" s="44" t="s">
        <v>13</v>
      </c>
      <c r="G71" s="15" t="s">
        <v>728</v>
      </c>
      <c r="H71" s="25">
        <f>CEILING(1825*USD,10)</f>
        <v>117970</v>
      </c>
      <c r="I71" s="8">
        <v>0.2</v>
      </c>
      <c r="J71" s="9">
        <f>CEILING(H71*0.8,10)</f>
        <v>94380</v>
      </c>
    </row>
    <row r="72" spans="1:10" ht="24.95" customHeight="1" x14ac:dyDescent="0.25">
      <c r="A72" s="124"/>
      <c r="B72" s="6" t="s">
        <v>722</v>
      </c>
      <c r="C72" s="44" t="s">
        <v>168</v>
      </c>
      <c r="D72" s="44" t="s">
        <v>56</v>
      </c>
      <c r="E72" s="44" t="s">
        <v>1070</v>
      </c>
      <c r="F72" s="44" t="s">
        <v>13</v>
      </c>
      <c r="G72" s="15" t="s">
        <v>728</v>
      </c>
      <c r="H72" s="25">
        <f>CEILING(1913*USD,10)</f>
        <v>123660</v>
      </c>
      <c r="I72" s="8">
        <v>0.2</v>
      </c>
      <c r="J72" s="9">
        <f>CEILING(H72*0.8,10)</f>
        <v>98930</v>
      </c>
    </row>
    <row r="73" spans="1:10" ht="24.95" customHeight="1" x14ac:dyDescent="0.25">
      <c r="A73" s="124"/>
      <c r="B73" s="6" t="s">
        <v>723</v>
      </c>
      <c r="C73" s="44" t="s">
        <v>726</v>
      </c>
      <c r="D73" s="44" t="s">
        <v>56</v>
      </c>
      <c r="E73" s="44" t="s">
        <v>1070</v>
      </c>
      <c r="F73" s="44" t="s">
        <v>13</v>
      </c>
      <c r="G73" s="15" t="s">
        <v>728</v>
      </c>
      <c r="H73" s="25">
        <f>CEILING(2071*USD,10)</f>
        <v>133870</v>
      </c>
      <c r="I73" s="8">
        <v>0.2</v>
      </c>
      <c r="J73" s="9">
        <f>CEILING(H73*0.8,10)</f>
        <v>107100</v>
      </c>
    </row>
    <row r="74" spans="1:10" ht="20.100000000000001" customHeight="1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</row>
    <row r="75" spans="1:10" ht="30" customHeight="1" x14ac:dyDescent="0.25">
      <c r="A75" s="118" t="s">
        <v>1209</v>
      </c>
      <c r="B75" s="118"/>
      <c r="C75" s="118"/>
      <c r="D75" s="118"/>
      <c r="E75" s="118"/>
      <c r="F75" s="118"/>
      <c r="G75" s="118"/>
      <c r="H75" s="118"/>
      <c r="I75" s="118"/>
      <c r="J75" s="118"/>
    </row>
    <row r="76" spans="1:10" ht="30" customHeight="1" x14ac:dyDescent="0.25">
      <c r="A76" s="44"/>
      <c r="B76" s="39" t="s">
        <v>2</v>
      </c>
      <c r="C76" s="4" t="s">
        <v>48</v>
      </c>
      <c r="D76" s="4" t="s">
        <v>49</v>
      </c>
      <c r="E76" s="39" t="s">
        <v>9</v>
      </c>
      <c r="F76" s="39" t="s">
        <v>10</v>
      </c>
      <c r="G76" s="4" t="s">
        <v>11</v>
      </c>
      <c r="H76" s="4" t="s">
        <v>17</v>
      </c>
      <c r="I76" s="4" t="s">
        <v>12</v>
      </c>
      <c r="J76" s="4" t="s">
        <v>18</v>
      </c>
    </row>
    <row r="77" spans="1:10" ht="60" customHeight="1" x14ac:dyDescent="0.25">
      <c r="A77" s="124"/>
      <c r="B77" s="6" t="s">
        <v>1210</v>
      </c>
      <c r="C77" s="44" t="s">
        <v>396</v>
      </c>
      <c r="D77" s="44" t="s">
        <v>221</v>
      </c>
      <c r="E77" s="44" t="s">
        <v>1058</v>
      </c>
      <c r="F77" s="44" t="s">
        <v>13</v>
      </c>
      <c r="G77" s="15" t="s">
        <v>1212</v>
      </c>
      <c r="H77" s="25">
        <f>CEILING(68*USD,10)</f>
        <v>4400</v>
      </c>
      <c r="I77" s="8">
        <v>0.2</v>
      </c>
      <c r="J77" s="9">
        <f>CEILING(H77*0.8,10)</f>
        <v>3520</v>
      </c>
    </row>
    <row r="78" spans="1:10" ht="60" customHeight="1" x14ac:dyDescent="0.25">
      <c r="A78" s="124"/>
      <c r="B78" s="6" t="s">
        <v>1211</v>
      </c>
      <c r="C78" s="44" t="s">
        <v>260</v>
      </c>
      <c r="D78" s="44" t="s">
        <v>56</v>
      </c>
      <c r="E78" s="44" t="s">
        <v>1058</v>
      </c>
      <c r="F78" s="44" t="s">
        <v>13</v>
      </c>
      <c r="G78" s="15" t="s">
        <v>1212</v>
      </c>
      <c r="H78" s="25">
        <f>CEILING(68*USD,10)</f>
        <v>4400</v>
      </c>
      <c r="I78" s="8">
        <v>0.2</v>
      </c>
      <c r="J78" s="9">
        <f>CEILING(H78*0.8,10)</f>
        <v>3520</v>
      </c>
    </row>
    <row r="79" spans="1:10" ht="20.100000000000001" customHeight="1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</row>
    <row r="80" spans="1:10" ht="30" customHeight="1" x14ac:dyDescent="0.25">
      <c r="A80" s="118" t="s">
        <v>1288</v>
      </c>
      <c r="B80" s="118"/>
      <c r="C80" s="118"/>
      <c r="D80" s="118"/>
      <c r="E80" s="118"/>
      <c r="F80" s="118"/>
      <c r="G80" s="118"/>
      <c r="H80" s="118"/>
      <c r="I80" s="118"/>
      <c r="J80" s="118"/>
    </row>
    <row r="81" spans="1:10" ht="30" customHeight="1" x14ac:dyDescent="0.25">
      <c r="A81" s="44"/>
      <c r="B81" s="39" t="s">
        <v>2</v>
      </c>
      <c r="C81" s="4" t="s">
        <v>48</v>
      </c>
      <c r="D81" s="4" t="s">
        <v>49</v>
      </c>
      <c r="E81" s="39" t="s">
        <v>9</v>
      </c>
      <c r="F81" s="39" t="s">
        <v>10</v>
      </c>
      <c r="G81" s="4" t="s">
        <v>11</v>
      </c>
      <c r="H81" s="4" t="s">
        <v>17</v>
      </c>
      <c r="I81" s="4" t="s">
        <v>12</v>
      </c>
      <c r="J81" s="4" t="s">
        <v>18</v>
      </c>
    </row>
    <row r="82" spans="1:10" ht="30" customHeight="1" x14ac:dyDescent="0.25">
      <c r="A82" s="124"/>
      <c r="B82" s="6" t="s">
        <v>729</v>
      </c>
      <c r="C82" s="44" t="s">
        <v>555</v>
      </c>
      <c r="D82" s="44" t="s">
        <v>271</v>
      </c>
      <c r="E82" s="44" t="s">
        <v>273</v>
      </c>
      <c r="F82" s="44" t="s">
        <v>13</v>
      </c>
      <c r="G82" s="15" t="s">
        <v>733</v>
      </c>
      <c r="H82" s="25">
        <f>CEILING(277*USD,10)</f>
        <v>17910</v>
      </c>
      <c r="I82" s="8">
        <v>0.2</v>
      </c>
      <c r="J82" s="9">
        <f>CEILING(H82*0.8,10)</f>
        <v>14330</v>
      </c>
    </row>
    <row r="83" spans="1:10" ht="30" customHeight="1" x14ac:dyDescent="0.25">
      <c r="A83" s="124"/>
      <c r="B83" s="6" t="s">
        <v>730</v>
      </c>
      <c r="C83" s="44" t="s">
        <v>578</v>
      </c>
      <c r="D83" s="44" t="s">
        <v>57</v>
      </c>
      <c r="E83" s="44" t="s">
        <v>273</v>
      </c>
      <c r="F83" s="44" t="s">
        <v>13</v>
      </c>
      <c r="G83" s="15" t="s">
        <v>733</v>
      </c>
      <c r="H83" s="25">
        <f>CEILING(277*USD,10)</f>
        <v>17910</v>
      </c>
      <c r="I83" s="8">
        <v>0.2</v>
      </c>
      <c r="J83" s="9">
        <f>CEILING(H83*0.8,10)</f>
        <v>14330</v>
      </c>
    </row>
    <row r="84" spans="1:10" ht="30" customHeight="1" x14ac:dyDescent="0.25">
      <c r="A84" s="124"/>
      <c r="B84" s="6" t="s">
        <v>731</v>
      </c>
      <c r="C84" s="44" t="s">
        <v>68</v>
      </c>
      <c r="D84" s="44" t="s">
        <v>244</v>
      </c>
      <c r="E84" s="44" t="s">
        <v>273</v>
      </c>
      <c r="F84" s="44" t="s">
        <v>13</v>
      </c>
      <c r="G84" s="15" t="s">
        <v>733</v>
      </c>
      <c r="H84" s="25">
        <f>CEILING(277*USD,10)</f>
        <v>17910</v>
      </c>
      <c r="I84" s="8">
        <v>0.2</v>
      </c>
      <c r="J84" s="9">
        <f>CEILING(H84*0.8,10)</f>
        <v>14330</v>
      </c>
    </row>
    <row r="85" spans="1:10" ht="30" customHeight="1" x14ac:dyDescent="0.25">
      <c r="A85" s="124"/>
      <c r="B85" s="6" t="s">
        <v>732</v>
      </c>
      <c r="C85" s="44" t="s">
        <v>184</v>
      </c>
      <c r="D85" s="44" t="s">
        <v>187</v>
      </c>
      <c r="E85" s="44" t="s">
        <v>273</v>
      </c>
      <c r="F85" s="44" t="s">
        <v>13</v>
      </c>
      <c r="G85" s="15" t="s">
        <v>733</v>
      </c>
      <c r="H85" s="25">
        <f>CEILING(277*USD,10)</f>
        <v>17910</v>
      </c>
      <c r="I85" s="8">
        <v>0.2</v>
      </c>
      <c r="J85" s="9">
        <f>CEILING(H85*0.8,10)</f>
        <v>14330</v>
      </c>
    </row>
    <row r="86" spans="1:10" ht="20.100000000000001" customHeight="1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</row>
    <row r="87" spans="1:10" ht="30" customHeight="1" x14ac:dyDescent="0.25">
      <c r="A87" s="118" t="s">
        <v>1213</v>
      </c>
      <c r="B87" s="118"/>
      <c r="C87" s="118"/>
      <c r="D87" s="118"/>
      <c r="E87" s="118"/>
      <c r="F87" s="118"/>
      <c r="G87" s="118"/>
      <c r="H87" s="118"/>
      <c r="I87" s="118"/>
      <c r="J87" s="118"/>
    </row>
    <row r="88" spans="1:10" ht="30" customHeight="1" x14ac:dyDescent="0.25">
      <c r="A88" s="44"/>
      <c r="B88" s="39" t="s">
        <v>2</v>
      </c>
      <c r="C88" s="4" t="s">
        <v>48</v>
      </c>
      <c r="D88" s="4" t="s">
        <v>49</v>
      </c>
      <c r="E88" s="39" t="s">
        <v>9</v>
      </c>
      <c r="F88" s="39" t="s">
        <v>10</v>
      </c>
      <c r="G88" s="4" t="s">
        <v>11</v>
      </c>
      <c r="H88" s="4" t="s">
        <v>17</v>
      </c>
      <c r="I88" s="4" t="s">
        <v>12</v>
      </c>
      <c r="J88" s="4" t="s">
        <v>18</v>
      </c>
    </row>
    <row r="89" spans="1:10" ht="20.100000000000001" customHeight="1" x14ac:dyDescent="0.25">
      <c r="A89" s="124"/>
      <c r="B89" s="6" t="s">
        <v>734</v>
      </c>
      <c r="C89" s="44" t="s">
        <v>741</v>
      </c>
      <c r="D89" s="44" t="s">
        <v>271</v>
      </c>
      <c r="E89" s="44" t="s">
        <v>273</v>
      </c>
      <c r="F89" s="44" t="s">
        <v>13</v>
      </c>
      <c r="G89" s="15" t="s">
        <v>742</v>
      </c>
      <c r="H89" s="25">
        <f>CEILING(179*USD,10)</f>
        <v>11580</v>
      </c>
      <c r="I89" s="8">
        <v>0.2</v>
      </c>
      <c r="J89" s="9">
        <f>CEILING(H89*0.8,10)</f>
        <v>9270</v>
      </c>
    </row>
    <row r="90" spans="1:10" ht="20.100000000000001" customHeight="1" x14ac:dyDescent="0.25">
      <c r="A90" s="124"/>
      <c r="B90" s="6" t="s">
        <v>735</v>
      </c>
      <c r="C90" s="44" t="s">
        <v>269</v>
      </c>
      <c r="D90" s="44" t="s">
        <v>57</v>
      </c>
      <c r="E90" s="44" t="s">
        <v>273</v>
      </c>
      <c r="F90" s="44" t="s">
        <v>13</v>
      </c>
      <c r="G90" s="15" t="s">
        <v>742</v>
      </c>
      <c r="H90" s="25">
        <f>CEILING(179*USD,10)</f>
        <v>11580</v>
      </c>
      <c r="I90" s="8">
        <v>0.2</v>
      </c>
      <c r="J90" s="9">
        <f t="shared" ref="J90:J95" si="3">CEILING(H90*0.8,10)</f>
        <v>9270</v>
      </c>
    </row>
    <row r="91" spans="1:10" ht="20.100000000000001" customHeight="1" x14ac:dyDescent="0.25">
      <c r="A91" s="124"/>
      <c r="B91" s="6" t="s">
        <v>736</v>
      </c>
      <c r="C91" s="44" t="s">
        <v>269</v>
      </c>
      <c r="D91" s="44" t="s">
        <v>271</v>
      </c>
      <c r="E91" s="44" t="s">
        <v>273</v>
      </c>
      <c r="F91" s="44" t="s">
        <v>13</v>
      </c>
      <c r="G91" s="15" t="s">
        <v>742</v>
      </c>
      <c r="H91" s="25">
        <f>CEILING(262*USD,10)</f>
        <v>16940</v>
      </c>
      <c r="I91" s="8">
        <v>0.2</v>
      </c>
      <c r="J91" s="9">
        <f t="shared" si="3"/>
        <v>13560</v>
      </c>
    </row>
    <row r="92" spans="1:10" ht="20.100000000000001" customHeight="1" x14ac:dyDescent="0.25">
      <c r="A92" s="124"/>
      <c r="B92" s="6" t="s">
        <v>737</v>
      </c>
      <c r="C92" s="44" t="s">
        <v>270</v>
      </c>
      <c r="D92" s="44" t="s">
        <v>244</v>
      </c>
      <c r="E92" s="44" t="s">
        <v>273</v>
      </c>
      <c r="F92" s="44" t="s">
        <v>13</v>
      </c>
      <c r="G92" s="15" t="s">
        <v>742</v>
      </c>
      <c r="H92" s="25">
        <f>CEILING(179*USD,10)</f>
        <v>11580</v>
      </c>
      <c r="I92" s="8">
        <v>0.2</v>
      </c>
      <c r="J92" s="9">
        <f t="shared" si="3"/>
        <v>9270</v>
      </c>
    </row>
    <row r="93" spans="1:10" ht="20.100000000000001" customHeight="1" x14ac:dyDescent="0.25">
      <c r="A93" s="124"/>
      <c r="B93" s="6" t="s">
        <v>738</v>
      </c>
      <c r="C93" s="44" t="s">
        <v>270</v>
      </c>
      <c r="D93" s="44" t="s">
        <v>57</v>
      </c>
      <c r="E93" s="44" t="s">
        <v>273</v>
      </c>
      <c r="F93" s="44" t="s">
        <v>13</v>
      </c>
      <c r="G93" s="15" t="s">
        <v>742</v>
      </c>
      <c r="H93" s="25">
        <f>CEILING(262*USD,10)</f>
        <v>16940</v>
      </c>
      <c r="I93" s="8">
        <v>0.2</v>
      </c>
      <c r="J93" s="9">
        <f t="shared" si="3"/>
        <v>13560</v>
      </c>
    </row>
    <row r="94" spans="1:10" ht="20.100000000000001" customHeight="1" x14ac:dyDescent="0.25">
      <c r="A94" s="124"/>
      <c r="B94" s="6" t="s">
        <v>739</v>
      </c>
      <c r="C94" s="44" t="s">
        <v>69</v>
      </c>
      <c r="D94" s="44" t="s">
        <v>244</v>
      </c>
      <c r="E94" s="44" t="s">
        <v>273</v>
      </c>
      <c r="F94" s="44" t="s">
        <v>13</v>
      </c>
      <c r="G94" s="15" t="s">
        <v>742</v>
      </c>
      <c r="H94" s="25">
        <f>CEILING(262*USD,10)</f>
        <v>16940</v>
      </c>
      <c r="I94" s="8">
        <v>0.2</v>
      </c>
      <c r="J94" s="9">
        <f t="shared" si="3"/>
        <v>13560</v>
      </c>
    </row>
    <row r="95" spans="1:10" ht="20.100000000000001" customHeight="1" x14ac:dyDescent="0.25">
      <c r="A95" s="124"/>
      <c r="B95" s="6" t="s">
        <v>740</v>
      </c>
      <c r="C95" s="44" t="s">
        <v>70</v>
      </c>
      <c r="D95" s="44" t="s">
        <v>187</v>
      </c>
      <c r="E95" s="44" t="s">
        <v>273</v>
      </c>
      <c r="F95" s="44" t="s">
        <v>13</v>
      </c>
      <c r="G95" s="15" t="s">
        <v>742</v>
      </c>
      <c r="H95" s="25">
        <f>CEILING(179*USD,10)</f>
        <v>11580</v>
      </c>
      <c r="I95" s="8">
        <v>0.2</v>
      </c>
      <c r="J95" s="9">
        <f t="shared" si="3"/>
        <v>9270</v>
      </c>
    </row>
    <row r="96" spans="1:10" ht="20.100000000000001" customHeight="1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</row>
    <row r="97" spans="1:10" ht="39.950000000000003" customHeight="1" x14ac:dyDescent="0.25">
      <c r="A97" s="117" t="s">
        <v>1462</v>
      </c>
      <c r="B97" s="118"/>
      <c r="C97" s="118"/>
      <c r="D97" s="118"/>
      <c r="E97" s="118"/>
      <c r="F97" s="118"/>
      <c r="G97" s="118"/>
      <c r="H97" s="118"/>
      <c r="I97" s="118"/>
      <c r="J97" s="118"/>
    </row>
    <row r="98" spans="1:10" ht="30" customHeight="1" x14ac:dyDescent="0.25">
      <c r="A98" s="55"/>
      <c r="B98" s="39" t="s">
        <v>2</v>
      </c>
      <c r="C98" s="4" t="s">
        <v>48</v>
      </c>
      <c r="D98" s="4" t="s">
        <v>49</v>
      </c>
      <c r="E98" s="39" t="s">
        <v>9</v>
      </c>
      <c r="F98" s="39" t="s">
        <v>10</v>
      </c>
      <c r="G98" s="4" t="s">
        <v>11</v>
      </c>
      <c r="H98" s="4" t="s">
        <v>17</v>
      </c>
      <c r="I98" s="4" t="s">
        <v>12</v>
      </c>
      <c r="J98" s="4" t="s">
        <v>18</v>
      </c>
    </row>
    <row r="99" spans="1:10" ht="20.100000000000001" customHeight="1" x14ac:dyDescent="0.25">
      <c r="A99" s="124"/>
      <c r="B99" s="6" t="s">
        <v>1452</v>
      </c>
      <c r="C99" s="55" t="s">
        <v>555</v>
      </c>
      <c r="D99" s="55" t="s">
        <v>1460</v>
      </c>
      <c r="E99" s="55" t="s">
        <v>273</v>
      </c>
      <c r="F99" s="55" t="s">
        <v>13</v>
      </c>
      <c r="G99" s="15" t="s">
        <v>1461</v>
      </c>
      <c r="H99" s="25">
        <f>CEILING(87*USD,10)</f>
        <v>5630</v>
      </c>
      <c r="I99" s="8">
        <v>0.2</v>
      </c>
      <c r="J99" s="9">
        <f>CEILING(H99*0.8,10)</f>
        <v>4510</v>
      </c>
    </row>
    <row r="100" spans="1:10" ht="20.100000000000001" customHeight="1" x14ac:dyDescent="0.25">
      <c r="A100" s="124"/>
      <c r="B100" s="6" t="s">
        <v>1453</v>
      </c>
      <c r="C100" s="55" t="s">
        <v>578</v>
      </c>
      <c r="D100" s="55" t="s">
        <v>1421</v>
      </c>
      <c r="E100" s="55" t="s">
        <v>273</v>
      </c>
      <c r="F100" s="55" t="s">
        <v>13</v>
      </c>
      <c r="G100" s="15" t="s">
        <v>1461</v>
      </c>
      <c r="H100" s="25">
        <f>CEILING(87*USD,10)</f>
        <v>5630</v>
      </c>
      <c r="I100" s="8">
        <v>0.2</v>
      </c>
      <c r="J100" s="9">
        <f t="shared" ref="J100:J106" si="4">CEILING(H100*0.8,10)</f>
        <v>4510</v>
      </c>
    </row>
    <row r="101" spans="1:10" ht="20.100000000000001" customHeight="1" x14ac:dyDescent="0.25">
      <c r="A101" s="124"/>
      <c r="B101" s="6" t="s">
        <v>1454</v>
      </c>
      <c r="C101" s="55" t="s">
        <v>68</v>
      </c>
      <c r="D101" s="55" t="s">
        <v>1422</v>
      </c>
      <c r="E101" s="55" t="s">
        <v>273</v>
      </c>
      <c r="F101" s="55" t="s">
        <v>13</v>
      </c>
      <c r="G101" s="15" t="s">
        <v>1461</v>
      </c>
      <c r="H101" s="25">
        <f>CEILING(87*USD,10)</f>
        <v>5630</v>
      </c>
      <c r="I101" s="8">
        <v>0.2</v>
      </c>
      <c r="J101" s="9">
        <f t="shared" si="4"/>
        <v>4510</v>
      </c>
    </row>
    <row r="102" spans="1:10" ht="20.100000000000001" customHeight="1" x14ac:dyDescent="0.25">
      <c r="A102" s="124"/>
      <c r="B102" s="6" t="s">
        <v>1455</v>
      </c>
      <c r="C102" s="55" t="s">
        <v>184</v>
      </c>
      <c r="D102" s="55" t="s">
        <v>1423</v>
      </c>
      <c r="E102" s="55" t="s">
        <v>273</v>
      </c>
      <c r="F102" s="55" t="s">
        <v>13</v>
      </c>
      <c r="G102" s="15" t="s">
        <v>1461</v>
      </c>
      <c r="H102" s="25">
        <f>CEILING(87*USD,10)</f>
        <v>5630</v>
      </c>
      <c r="I102" s="8">
        <v>0.2</v>
      </c>
      <c r="J102" s="9">
        <f t="shared" si="4"/>
        <v>4510</v>
      </c>
    </row>
    <row r="103" spans="1:10" ht="20.100000000000001" customHeight="1" x14ac:dyDescent="0.25">
      <c r="A103" s="124"/>
      <c r="B103" s="6" t="s">
        <v>1456</v>
      </c>
      <c r="C103" s="55" t="s">
        <v>555</v>
      </c>
      <c r="D103" s="55" t="s">
        <v>1460</v>
      </c>
      <c r="E103" s="55" t="s">
        <v>273</v>
      </c>
      <c r="F103" s="55" t="s">
        <v>13</v>
      </c>
      <c r="G103" s="15" t="s">
        <v>1461</v>
      </c>
      <c r="H103" s="25">
        <f t="shared" ref="H103:H108" si="5">CEILING(97*USD,10)</f>
        <v>6280</v>
      </c>
      <c r="I103" s="8">
        <v>0.2</v>
      </c>
      <c r="J103" s="9">
        <f t="shared" si="4"/>
        <v>5030</v>
      </c>
    </row>
    <row r="104" spans="1:10" ht="20.100000000000001" customHeight="1" x14ac:dyDescent="0.25">
      <c r="A104" s="124"/>
      <c r="B104" s="6" t="s">
        <v>1457</v>
      </c>
      <c r="C104" s="55" t="s">
        <v>578</v>
      </c>
      <c r="D104" s="55" t="s">
        <v>1421</v>
      </c>
      <c r="E104" s="55" t="s">
        <v>273</v>
      </c>
      <c r="F104" s="55" t="s">
        <v>13</v>
      </c>
      <c r="G104" s="15" t="s">
        <v>1461</v>
      </c>
      <c r="H104" s="25">
        <f t="shared" si="5"/>
        <v>6280</v>
      </c>
      <c r="I104" s="8">
        <v>0.2</v>
      </c>
      <c r="J104" s="9">
        <f t="shared" si="4"/>
        <v>5030</v>
      </c>
    </row>
    <row r="105" spans="1:10" ht="20.100000000000001" customHeight="1" x14ac:dyDescent="0.25">
      <c r="A105" s="124"/>
      <c r="B105" s="6" t="s">
        <v>1458</v>
      </c>
      <c r="C105" s="55" t="s">
        <v>68</v>
      </c>
      <c r="D105" s="55" t="s">
        <v>1422</v>
      </c>
      <c r="E105" s="55" t="s">
        <v>273</v>
      </c>
      <c r="F105" s="55" t="s">
        <v>13</v>
      </c>
      <c r="G105" s="15" t="s">
        <v>1461</v>
      </c>
      <c r="H105" s="25">
        <f t="shared" si="5"/>
        <v>6280</v>
      </c>
      <c r="I105" s="8">
        <v>0.2</v>
      </c>
      <c r="J105" s="9">
        <f t="shared" si="4"/>
        <v>5030</v>
      </c>
    </row>
    <row r="106" spans="1:10" ht="20.100000000000001" customHeight="1" x14ac:dyDescent="0.25">
      <c r="A106" s="124"/>
      <c r="B106" s="6" t="s">
        <v>1459</v>
      </c>
      <c r="C106" s="86" t="s">
        <v>184</v>
      </c>
      <c r="D106" s="86" t="s">
        <v>1423</v>
      </c>
      <c r="E106" s="86" t="s">
        <v>273</v>
      </c>
      <c r="F106" s="86" t="s">
        <v>13</v>
      </c>
      <c r="G106" s="15" t="s">
        <v>1461</v>
      </c>
      <c r="H106" s="25">
        <f t="shared" si="5"/>
        <v>6280</v>
      </c>
      <c r="I106" s="8">
        <v>0.2</v>
      </c>
      <c r="J106" s="9">
        <f t="shared" si="4"/>
        <v>5030</v>
      </c>
    </row>
    <row r="107" spans="1:10" ht="20.100000000000001" customHeight="1" x14ac:dyDescent="0.25">
      <c r="A107" s="124"/>
      <c r="B107" s="39" t="s">
        <v>1870</v>
      </c>
      <c r="C107" s="86" t="s">
        <v>578</v>
      </c>
      <c r="D107" s="86" t="s">
        <v>1421</v>
      </c>
      <c r="E107" s="86" t="s">
        <v>273</v>
      </c>
      <c r="F107" s="86" t="s">
        <v>13</v>
      </c>
      <c r="G107" s="15" t="s">
        <v>1461</v>
      </c>
      <c r="H107" s="25">
        <f t="shared" si="5"/>
        <v>6280</v>
      </c>
      <c r="I107" s="8">
        <v>0.15</v>
      </c>
      <c r="J107" s="9">
        <f>CEILING(H107*0.85,10)</f>
        <v>5340</v>
      </c>
    </row>
    <row r="108" spans="1:10" ht="20.100000000000001" customHeight="1" x14ac:dyDescent="0.25">
      <c r="A108" s="124"/>
      <c r="B108" s="39" t="s">
        <v>1871</v>
      </c>
      <c r="C108" s="86" t="s">
        <v>68</v>
      </c>
      <c r="D108" s="86" t="s">
        <v>1422</v>
      </c>
      <c r="E108" s="55" t="s">
        <v>273</v>
      </c>
      <c r="F108" s="55" t="s">
        <v>13</v>
      </c>
      <c r="G108" s="15" t="s">
        <v>1461</v>
      </c>
      <c r="H108" s="25">
        <f t="shared" si="5"/>
        <v>6280</v>
      </c>
      <c r="I108" s="8">
        <v>0.15</v>
      </c>
      <c r="J108" s="9">
        <f>CEILING(H108*0.85,10)</f>
        <v>5340</v>
      </c>
    </row>
    <row r="109" spans="1:10" ht="20.100000000000001" customHeight="1" x14ac:dyDescent="0.25">
      <c r="A109" s="139" t="s">
        <v>74</v>
      </c>
      <c r="B109" s="139"/>
      <c r="C109" s="139"/>
      <c r="D109" s="139"/>
      <c r="E109" s="139"/>
      <c r="F109" s="139"/>
      <c r="G109" s="139"/>
      <c r="H109" s="139"/>
      <c r="I109" s="139"/>
      <c r="J109" s="139"/>
    </row>
    <row r="110" spans="1:10" ht="20.100000000000001" customHeight="1" x14ac:dyDescent="0.25">
      <c r="A110" s="135" t="s">
        <v>1872</v>
      </c>
      <c r="B110" s="136"/>
      <c r="C110" s="136"/>
      <c r="D110" s="136"/>
      <c r="E110" s="136"/>
      <c r="F110" s="136"/>
      <c r="G110" s="137"/>
      <c r="H110" s="9">
        <f>CEILING(10*USD,10)</f>
        <v>650</v>
      </c>
      <c r="I110" s="8">
        <v>0</v>
      </c>
      <c r="J110" s="9">
        <f>CEILING(H110*1,10)</f>
        <v>650</v>
      </c>
    </row>
    <row r="111" spans="1:10" ht="20.100000000000001" customHeight="1" x14ac:dyDescent="0.25">
      <c r="A111" s="135" t="s">
        <v>1873</v>
      </c>
      <c r="B111" s="136"/>
      <c r="C111" s="136"/>
      <c r="D111" s="136"/>
      <c r="E111" s="136"/>
      <c r="F111" s="136"/>
      <c r="G111" s="137"/>
      <c r="H111" s="9">
        <f>CEILING(15*USD,10)</f>
        <v>970</v>
      </c>
      <c r="I111" s="8">
        <v>0</v>
      </c>
      <c r="J111" s="9">
        <f>CEILING(H111*1,10)</f>
        <v>970</v>
      </c>
    </row>
    <row r="112" spans="1:10" ht="20.100000000000001" customHeight="1" x14ac:dyDescent="0.25">
      <c r="A112" s="135" t="s">
        <v>1874</v>
      </c>
      <c r="B112" s="136"/>
      <c r="C112" s="136"/>
      <c r="D112" s="136"/>
      <c r="E112" s="136"/>
      <c r="F112" s="136"/>
      <c r="G112" s="137"/>
      <c r="H112" s="9">
        <f>CEILING(10*USD,10)</f>
        <v>650</v>
      </c>
      <c r="I112" s="8">
        <v>0</v>
      </c>
      <c r="J112" s="9">
        <f>CEILING(H112*1,10)</f>
        <v>650</v>
      </c>
    </row>
    <row r="113" spans="1:10" ht="20.100000000000001" customHeight="1" x14ac:dyDescent="0.25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</row>
    <row r="114" spans="1:10" ht="30" customHeight="1" x14ac:dyDescent="0.25">
      <c r="A114" s="118" t="s">
        <v>1214</v>
      </c>
      <c r="B114" s="118"/>
      <c r="C114" s="118"/>
      <c r="D114" s="118"/>
      <c r="E114" s="118"/>
      <c r="F114" s="118"/>
      <c r="G114" s="118"/>
      <c r="H114" s="118"/>
      <c r="I114" s="118"/>
      <c r="J114" s="118"/>
    </row>
    <row r="115" spans="1:10" ht="30" customHeight="1" x14ac:dyDescent="0.25">
      <c r="A115" s="44"/>
      <c r="B115" s="39" t="s">
        <v>2</v>
      </c>
      <c r="C115" s="4" t="s">
        <v>48</v>
      </c>
      <c r="D115" s="4" t="s">
        <v>49</v>
      </c>
      <c r="E115" s="39" t="s">
        <v>9</v>
      </c>
      <c r="F115" s="39" t="s">
        <v>10</v>
      </c>
      <c r="G115" s="4" t="s">
        <v>11</v>
      </c>
      <c r="H115" s="4" t="s">
        <v>17</v>
      </c>
      <c r="I115" s="4" t="s">
        <v>12</v>
      </c>
      <c r="J115" s="4" t="s">
        <v>18</v>
      </c>
    </row>
    <row r="116" spans="1:10" ht="39.950000000000003" customHeight="1" x14ac:dyDescent="0.25">
      <c r="A116" s="124"/>
      <c r="B116" s="6" t="s">
        <v>743</v>
      </c>
      <c r="C116" s="44" t="s">
        <v>537</v>
      </c>
      <c r="D116" s="44" t="s">
        <v>271</v>
      </c>
      <c r="E116" s="44" t="s">
        <v>273</v>
      </c>
      <c r="F116" s="44" t="s">
        <v>13</v>
      </c>
      <c r="G116" s="15" t="s">
        <v>746</v>
      </c>
      <c r="H116" s="25">
        <f>CEILING(205*USD,10)</f>
        <v>13260</v>
      </c>
      <c r="I116" s="8">
        <v>0.2</v>
      </c>
      <c r="J116" s="9">
        <f>CEILING(H116*0.8,10)</f>
        <v>10610</v>
      </c>
    </row>
    <row r="117" spans="1:10" ht="39.950000000000003" customHeight="1" x14ac:dyDescent="0.25">
      <c r="A117" s="124"/>
      <c r="B117" s="6" t="s">
        <v>744</v>
      </c>
      <c r="C117" s="44" t="s">
        <v>269</v>
      </c>
      <c r="D117" s="44" t="s">
        <v>57</v>
      </c>
      <c r="E117" s="44" t="s">
        <v>273</v>
      </c>
      <c r="F117" s="44" t="s">
        <v>13</v>
      </c>
      <c r="G117" s="15" t="s">
        <v>746</v>
      </c>
      <c r="H117" s="25">
        <f>CEILING(205*USD,10)</f>
        <v>13260</v>
      </c>
      <c r="I117" s="8">
        <v>0.2</v>
      </c>
      <c r="J117" s="9">
        <f>CEILING(H117*0.8,10)</f>
        <v>10610</v>
      </c>
    </row>
    <row r="118" spans="1:10" ht="39.950000000000003" customHeight="1" x14ac:dyDescent="0.25">
      <c r="A118" s="124"/>
      <c r="B118" s="6" t="s">
        <v>745</v>
      </c>
      <c r="C118" s="44" t="s">
        <v>270</v>
      </c>
      <c r="D118" s="44" t="s">
        <v>244</v>
      </c>
      <c r="E118" s="44" t="s">
        <v>273</v>
      </c>
      <c r="F118" s="44" t="s">
        <v>13</v>
      </c>
      <c r="G118" s="15" t="s">
        <v>746</v>
      </c>
      <c r="H118" s="25">
        <f>CEILING(205*USD,10)</f>
        <v>13260</v>
      </c>
      <c r="I118" s="8">
        <v>0.2</v>
      </c>
      <c r="J118" s="9">
        <f>CEILING(H118*0.8,10)</f>
        <v>10610</v>
      </c>
    </row>
    <row r="119" spans="1:10" ht="20.100000000000001" customHeight="1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</row>
    <row r="120" spans="1:10" ht="30" customHeight="1" x14ac:dyDescent="0.25">
      <c r="A120" s="118" t="s">
        <v>1286</v>
      </c>
      <c r="B120" s="118"/>
      <c r="C120" s="118"/>
      <c r="D120" s="118"/>
      <c r="E120" s="118"/>
      <c r="F120" s="118"/>
      <c r="G120" s="118"/>
      <c r="H120" s="118"/>
      <c r="I120" s="118"/>
      <c r="J120" s="118"/>
    </row>
    <row r="121" spans="1:10" ht="30" customHeight="1" x14ac:dyDescent="0.25">
      <c r="A121" s="44"/>
      <c r="B121" s="39" t="s">
        <v>2</v>
      </c>
      <c r="C121" s="4" t="s">
        <v>48</v>
      </c>
      <c r="D121" s="4" t="s">
        <v>49</v>
      </c>
      <c r="E121" s="39" t="s">
        <v>9</v>
      </c>
      <c r="F121" s="39" t="s">
        <v>10</v>
      </c>
      <c r="G121" s="4" t="s">
        <v>11</v>
      </c>
      <c r="H121" s="4" t="s">
        <v>17</v>
      </c>
      <c r="I121" s="4" t="s">
        <v>12</v>
      </c>
      <c r="J121" s="4" t="s">
        <v>18</v>
      </c>
    </row>
    <row r="122" spans="1:10" ht="39.950000000000003" customHeight="1" x14ac:dyDescent="0.25">
      <c r="A122" s="124"/>
      <c r="B122" s="6" t="s">
        <v>1215</v>
      </c>
      <c r="C122" s="44" t="s">
        <v>263</v>
      </c>
      <c r="D122" s="44" t="s">
        <v>266</v>
      </c>
      <c r="E122" s="44" t="s">
        <v>273</v>
      </c>
      <c r="F122" s="44" t="s">
        <v>13</v>
      </c>
      <c r="G122" s="15" t="s">
        <v>1287</v>
      </c>
      <c r="H122" s="25">
        <f>CEILING(276*USD,10)</f>
        <v>17850</v>
      </c>
      <c r="I122" s="8">
        <v>0.2</v>
      </c>
      <c r="J122" s="9">
        <f>CEILING(H122*0.8,10)</f>
        <v>14280</v>
      </c>
    </row>
    <row r="123" spans="1:10" ht="39.950000000000003" customHeight="1" x14ac:dyDescent="0.25">
      <c r="A123" s="124"/>
      <c r="B123" s="6" t="s">
        <v>1216</v>
      </c>
      <c r="C123" s="44" t="s">
        <v>262</v>
      </c>
      <c r="D123" s="44" t="s">
        <v>267</v>
      </c>
      <c r="E123" s="44" t="s">
        <v>273</v>
      </c>
      <c r="F123" s="44" t="s">
        <v>13</v>
      </c>
      <c r="G123" s="15" t="s">
        <v>1287</v>
      </c>
      <c r="H123" s="25">
        <f>CEILING(276*USD,10)</f>
        <v>17850</v>
      </c>
      <c r="I123" s="8">
        <v>0.2</v>
      </c>
      <c r="J123" s="9">
        <f>CEILING(H123*0.8,10)</f>
        <v>14280</v>
      </c>
    </row>
    <row r="124" spans="1:10" ht="39.950000000000003" customHeight="1" x14ac:dyDescent="0.25">
      <c r="A124" s="124"/>
      <c r="B124" s="6" t="s">
        <v>1217</v>
      </c>
      <c r="C124" s="44" t="s">
        <v>264</v>
      </c>
      <c r="D124" s="44" t="s">
        <v>268</v>
      </c>
      <c r="E124" s="44" t="s">
        <v>273</v>
      </c>
      <c r="F124" s="44" t="s">
        <v>13</v>
      </c>
      <c r="G124" s="15" t="s">
        <v>1287</v>
      </c>
      <c r="H124" s="25">
        <f>CEILING(276*USD,10)</f>
        <v>17850</v>
      </c>
      <c r="I124" s="8">
        <v>0.2</v>
      </c>
      <c r="J124" s="9">
        <f>CEILING(H124*0.8,10)</f>
        <v>14280</v>
      </c>
    </row>
    <row r="125" spans="1:10" ht="20.100000000000001" customHeight="1" x14ac:dyDescent="0.2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</row>
    <row r="126" spans="1:10" ht="30" customHeight="1" x14ac:dyDescent="0.25">
      <c r="A126" s="118" t="s">
        <v>1218</v>
      </c>
      <c r="B126" s="118"/>
      <c r="C126" s="118"/>
      <c r="D126" s="118"/>
      <c r="E126" s="118"/>
      <c r="F126" s="118"/>
      <c r="G126" s="118"/>
      <c r="H126" s="118"/>
      <c r="I126" s="118"/>
      <c r="J126" s="118"/>
    </row>
    <row r="127" spans="1:10" ht="30" customHeight="1" x14ac:dyDescent="0.25">
      <c r="A127" s="44"/>
      <c r="B127" s="39" t="s">
        <v>2</v>
      </c>
      <c r="C127" s="4" t="s">
        <v>48</v>
      </c>
      <c r="D127" s="4" t="s">
        <v>49</v>
      </c>
      <c r="E127" s="39" t="s">
        <v>9</v>
      </c>
      <c r="F127" s="39" t="s">
        <v>10</v>
      </c>
      <c r="G127" s="4" t="s">
        <v>11</v>
      </c>
      <c r="H127" s="4" t="s">
        <v>17</v>
      </c>
      <c r="I127" s="4" t="s">
        <v>12</v>
      </c>
      <c r="J127" s="4" t="s">
        <v>18</v>
      </c>
    </row>
    <row r="128" spans="1:10" ht="20.100000000000001" customHeight="1" x14ac:dyDescent="0.25">
      <c r="A128" s="124"/>
      <c r="B128" s="6" t="s">
        <v>747</v>
      </c>
      <c r="C128" s="44" t="s">
        <v>537</v>
      </c>
      <c r="D128" s="44" t="s">
        <v>57</v>
      </c>
      <c r="E128" s="44" t="s">
        <v>273</v>
      </c>
      <c r="F128" s="44" t="s">
        <v>13</v>
      </c>
      <c r="G128" s="15" t="s">
        <v>759</v>
      </c>
      <c r="H128" s="7">
        <f>CEILING(95*USD,10)</f>
        <v>6150</v>
      </c>
      <c r="I128" s="8">
        <v>0.2</v>
      </c>
      <c r="J128" s="9">
        <f>CEILING(H128*0.8,10)</f>
        <v>4920</v>
      </c>
    </row>
    <row r="129" spans="1:10" ht="20.100000000000001" customHeight="1" x14ac:dyDescent="0.25">
      <c r="A129" s="124"/>
      <c r="B129" s="6" t="s">
        <v>748</v>
      </c>
      <c r="C129" s="44" t="s">
        <v>269</v>
      </c>
      <c r="D129" s="44" t="s">
        <v>244</v>
      </c>
      <c r="E129" s="44" t="s">
        <v>273</v>
      </c>
      <c r="F129" s="44" t="s">
        <v>13</v>
      </c>
      <c r="G129" s="15" t="s">
        <v>759</v>
      </c>
      <c r="H129" s="7">
        <f>CEILING(95*USD,10)</f>
        <v>6150</v>
      </c>
      <c r="I129" s="8">
        <v>0.2</v>
      </c>
      <c r="J129" s="9">
        <f t="shared" ref="J129:J140" si="6">CEILING(H129*0.8,10)</f>
        <v>4920</v>
      </c>
    </row>
    <row r="130" spans="1:10" ht="20.100000000000001" customHeight="1" x14ac:dyDescent="0.25">
      <c r="A130" s="124"/>
      <c r="B130" s="6" t="s">
        <v>749</v>
      </c>
      <c r="C130" s="44" t="s">
        <v>270</v>
      </c>
      <c r="D130" s="44" t="s">
        <v>187</v>
      </c>
      <c r="E130" s="44" t="s">
        <v>273</v>
      </c>
      <c r="F130" s="44" t="s">
        <v>13</v>
      </c>
      <c r="G130" s="15" t="s">
        <v>759</v>
      </c>
      <c r="H130" s="7">
        <f>CEILING(95*USD,10)</f>
        <v>6150</v>
      </c>
      <c r="I130" s="8">
        <v>0.2</v>
      </c>
      <c r="J130" s="9">
        <f t="shared" si="6"/>
        <v>4920</v>
      </c>
    </row>
    <row r="131" spans="1:10" ht="20.100000000000001" customHeight="1" x14ac:dyDescent="0.25">
      <c r="A131" s="124"/>
      <c r="B131" s="6" t="s">
        <v>750</v>
      </c>
      <c r="C131" s="44" t="s">
        <v>69</v>
      </c>
      <c r="D131" s="44" t="s">
        <v>538</v>
      </c>
      <c r="E131" s="44" t="s">
        <v>273</v>
      </c>
      <c r="F131" s="44" t="s">
        <v>13</v>
      </c>
      <c r="G131" s="15" t="s">
        <v>759</v>
      </c>
      <c r="H131" s="7">
        <f>CEILING(95*USD,10)</f>
        <v>6150</v>
      </c>
      <c r="I131" s="8">
        <v>0.2</v>
      </c>
      <c r="J131" s="9">
        <f t="shared" si="6"/>
        <v>4920</v>
      </c>
    </row>
    <row r="132" spans="1:10" ht="20.100000000000001" customHeight="1" x14ac:dyDescent="0.25">
      <c r="A132" s="124"/>
      <c r="B132" s="6" t="s">
        <v>754</v>
      </c>
      <c r="C132" s="44" t="s">
        <v>537</v>
      </c>
      <c r="D132" s="44" t="s">
        <v>57</v>
      </c>
      <c r="E132" s="44" t="s">
        <v>273</v>
      </c>
      <c r="F132" s="44" t="s">
        <v>13</v>
      </c>
      <c r="G132" s="15" t="s">
        <v>759</v>
      </c>
      <c r="H132" s="7">
        <f>CEILING(105*USD,10)</f>
        <v>6790</v>
      </c>
      <c r="I132" s="8">
        <v>0.2</v>
      </c>
      <c r="J132" s="9">
        <f t="shared" si="6"/>
        <v>5440</v>
      </c>
    </row>
    <row r="133" spans="1:10" ht="20.100000000000001" customHeight="1" x14ac:dyDescent="0.25">
      <c r="A133" s="124"/>
      <c r="B133" s="6" t="s">
        <v>755</v>
      </c>
      <c r="C133" s="44" t="s">
        <v>269</v>
      </c>
      <c r="D133" s="44" t="s">
        <v>244</v>
      </c>
      <c r="E133" s="44" t="s">
        <v>273</v>
      </c>
      <c r="F133" s="44" t="s">
        <v>13</v>
      </c>
      <c r="G133" s="15" t="s">
        <v>759</v>
      </c>
      <c r="H133" s="7">
        <f>CEILING(105*USD,10)</f>
        <v>6790</v>
      </c>
      <c r="I133" s="8">
        <v>0.2</v>
      </c>
      <c r="J133" s="9">
        <f t="shared" si="6"/>
        <v>5440</v>
      </c>
    </row>
    <row r="134" spans="1:10" ht="20.100000000000001" customHeight="1" x14ac:dyDescent="0.25">
      <c r="A134" s="124"/>
      <c r="B134" s="6" t="s">
        <v>756</v>
      </c>
      <c r="C134" s="44" t="s">
        <v>270</v>
      </c>
      <c r="D134" s="44" t="s">
        <v>187</v>
      </c>
      <c r="E134" s="44" t="s">
        <v>273</v>
      </c>
      <c r="F134" s="44" t="s">
        <v>13</v>
      </c>
      <c r="G134" s="15" t="s">
        <v>759</v>
      </c>
      <c r="H134" s="7">
        <f>CEILING(105*USD,10)</f>
        <v>6790</v>
      </c>
      <c r="I134" s="8">
        <v>0.2</v>
      </c>
      <c r="J134" s="9">
        <f t="shared" si="6"/>
        <v>5440</v>
      </c>
    </row>
    <row r="135" spans="1:10" ht="20.100000000000001" customHeight="1" x14ac:dyDescent="0.25">
      <c r="A135" s="124"/>
      <c r="B135" s="6" t="s">
        <v>757</v>
      </c>
      <c r="C135" s="44" t="s">
        <v>69</v>
      </c>
      <c r="D135" s="44" t="s">
        <v>538</v>
      </c>
      <c r="E135" s="44" t="s">
        <v>273</v>
      </c>
      <c r="F135" s="44" t="s">
        <v>13</v>
      </c>
      <c r="G135" s="15" t="s">
        <v>759</v>
      </c>
      <c r="H135" s="7">
        <f>CEILING(105*USD,10)</f>
        <v>6790</v>
      </c>
      <c r="I135" s="8">
        <v>0.2</v>
      </c>
      <c r="J135" s="9">
        <f t="shared" si="6"/>
        <v>5440</v>
      </c>
    </row>
    <row r="136" spans="1:10" ht="20.100000000000001" customHeight="1" x14ac:dyDescent="0.25">
      <c r="A136" s="124"/>
      <c r="B136" s="6" t="s">
        <v>751</v>
      </c>
      <c r="C136" s="44" t="s">
        <v>269</v>
      </c>
      <c r="D136" s="44" t="s">
        <v>244</v>
      </c>
      <c r="E136" s="44" t="s">
        <v>273</v>
      </c>
      <c r="F136" s="44" t="s">
        <v>13</v>
      </c>
      <c r="G136" s="15" t="s">
        <v>760</v>
      </c>
      <c r="H136" s="7">
        <f>CEILING(197*USD,10)</f>
        <v>12740</v>
      </c>
      <c r="I136" s="8">
        <v>0.2</v>
      </c>
      <c r="J136" s="9">
        <f t="shared" si="6"/>
        <v>10200</v>
      </c>
    </row>
    <row r="137" spans="1:10" ht="20.100000000000001" customHeight="1" x14ac:dyDescent="0.25">
      <c r="A137" s="124"/>
      <c r="B137" s="13" t="s">
        <v>758</v>
      </c>
      <c r="C137" s="44" t="s">
        <v>269</v>
      </c>
      <c r="D137" s="44" t="s">
        <v>244</v>
      </c>
      <c r="E137" s="44" t="s">
        <v>273</v>
      </c>
      <c r="F137" s="44" t="s">
        <v>13</v>
      </c>
      <c r="G137" s="15" t="s">
        <v>760</v>
      </c>
      <c r="H137" s="7">
        <f>CEILING(210*USD,10)</f>
        <v>13580</v>
      </c>
      <c r="I137" s="8">
        <v>0.2</v>
      </c>
      <c r="J137" s="9">
        <f t="shared" si="6"/>
        <v>10870</v>
      </c>
    </row>
    <row r="138" spans="1:10" ht="20.100000000000001" customHeight="1" x14ac:dyDescent="0.25">
      <c r="A138" s="124"/>
      <c r="B138" s="6" t="s">
        <v>752</v>
      </c>
      <c r="C138" s="44" t="s">
        <v>270</v>
      </c>
      <c r="D138" s="44" t="s">
        <v>187</v>
      </c>
      <c r="E138" s="44" t="s">
        <v>273</v>
      </c>
      <c r="F138" s="44" t="s">
        <v>13</v>
      </c>
      <c r="G138" s="15" t="s">
        <v>760</v>
      </c>
      <c r="H138" s="7">
        <f>CEILING(197*USD,10)</f>
        <v>12740</v>
      </c>
      <c r="I138" s="8">
        <v>0.2</v>
      </c>
      <c r="J138" s="9">
        <f t="shared" si="6"/>
        <v>10200</v>
      </c>
    </row>
    <row r="139" spans="1:10" ht="20.100000000000001" customHeight="1" x14ac:dyDescent="0.25">
      <c r="A139" s="124"/>
      <c r="B139" s="6" t="s">
        <v>1219</v>
      </c>
      <c r="C139" s="44" t="s">
        <v>270</v>
      </c>
      <c r="D139" s="44" t="s">
        <v>187</v>
      </c>
      <c r="E139" s="44" t="s">
        <v>273</v>
      </c>
      <c r="F139" s="44" t="s">
        <v>13</v>
      </c>
      <c r="G139" s="15" t="s">
        <v>760</v>
      </c>
      <c r="H139" s="7">
        <f>CEILING(210*USD,10)</f>
        <v>13580</v>
      </c>
      <c r="I139" s="8">
        <v>0.2</v>
      </c>
      <c r="J139" s="9">
        <f t="shared" si="6"/>
        <v>10870</v>
      </c>
    </row>
    <row r="140" spans="1:10" ht="20.100000000000001" customHeight="1" x14ac:dyDescent="0.25">
      <c r="A140" s="124"/>
      <c r="B140" s="6" t="s">
        <v>753</v>
      </c>
      <c r="C140" s="44" t="s">
        <v>69</v>
      </c>
      <c r="D140" s="44" t="s">
        <v>538</v>
      </c>
      <c r="E140" s="44" t="s">
        <v>273</v>
      </c>
      <c r="F140" s="44" t="s">
        <v>13</v>
      </c>
      <c r="G140" s="15" t="s">
        <v>760</v>
      </c>
      <c r="H140" s="7">
        <f>CEILING(197*USD,10)</f>
        <v>12740</v>
      </c>
      <c r="I140" s="8">
        <v>0.2</v>
      </c>
      <c r="J140" s="9">
        <f t="shared" si="6"/>
        <v>10200</v>
      </c>
    </row>
    <row r="141" spans="1:10" ht="20.100000000000001" customHeight="1" x14ac:dyDescent="0.25">
      <c r="A141" s="139" t="s">
        <v>74</v>
      </c>
      <c r="B141" s="139"/>
      <c r="C141" s="139"/>
      <c r="D141" s="139"/>
      <c r="E141" s="139"/>
      <c r="F141" s="139"/>
      <c r="G141" s="139"/>
      <c r="H141" s="139"/>
      <c r="I141" s="139"/>
      <c r="J141" s="139"/>
    </row>
    <row r="142" spans="1:10" ht="20.100000000000001" customHeight="1" x14ac:dyDescent="0.25">
      <c r="A142" s="135" t="s">
        <v>762</v>
      </c>
      <c r="B142" s="136"/>
      <c r="C142" s="136"/>
      <c r="D142" s="136"/>
      <c r="E142" s="136"/>
      <c r="F142" s="136"/>
      <c r="G142" s="137"/>
      <c r="H142" s="9">
        <f>CEILING(10*USD,10)</f>
        <v>650</v>
      </c>
      <c r="I142" s="8">
        <v>0</v>
      </c>
      <c r="J142" s="9">
        <f>CEILING(H142*1,10)</f>
        <v>650</v>
      </c>
    </row>
    <row r="143" spans="1:10" ht="20.100000000000001" customHeight="1" x14ac:dyDescent="0.25">
      <c r="A143" s="135" t="s">
        <v>763</v>
      </c>
      <c r="B143" s="136"/>
      <c r="C143" s="136"/>
      <c r="D143" s="136"/>
      <c r="E143" s="136"/>
      <c r="F143" s="136"/>
      <c r="G143" s="137"/>
      <c r="H143" s="9">
        <f>CEILING(20*USD,10)</f>
        <v>1300</v>
      </c>
      <c r="I143" s="8">
        <v>0</v>
      </c>
      <c r="J143" s="9">
        <f>CEILING(H143*1,10)</f>
        <v>1300</v>
      </c>
    </row>
    <row r="144" spans="1:10" ht="20.100000000000001" customHeight="1" x14ac:dyDescent="0.25">
      <c r="A144" s="135" t="s">
        <v>761</v>
      </c>
      <c r="B144" s="136"/>
      <c r="C144" s="136"/>
      <c r="D144" s="136"/>
      <c r="E144" s="136"/>
      <c r="F144" s="136"/>
      <c r="G144" s="137"/>
      <c r="H144" s="9">
        <f>CEILING(5*USD,10)</f>
        <v>330</v>
      </c>
      <c r="I144" s="8">
        <v>0</v>
      </c>
      <c r="J144" s="9">
        <f>CEILING(H144*1,10)</f>
        <v>330</v>
      </c>
    </row>
    <row r="145" spans="1:10" ht="20.100000000000001" customHeight="1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</row>
    <row r="146" spans="1:10" ht="39.950000000000003" customHeight="1" x14ac:dyDescent="0.25">
      <c r="A146" s="117" t="s">
        <v>1220</v>
      </c>
      <c r="B146" s="118"/>
      <c r="C146" s="118"/>
      <c r="D146" s="118"/>
      <c r="E146" s="118"/>
      <c r="F146" s="118"/>
      <c r="G146" s="118"/>
      <c r="H146" s="118"/>
      <c r="I146" s="118"/>
      <c r="J146" s="118"/>
    </row>
    <row r="147" spans="1:10" ht="30" customHeight="1" x14ac:dyDescent="0.25">
      <c r="A147" s="44"/>
      <c r="B147" s="39" t="s">
        <v>2</v>
      </c>
      <c r="C147" s="4" t="s">
        <v>48</v>
      </c>
      <c r="D147" s="4" t="s">
        <v>49</v>
      </c>
      <c r="E147" s="39" t="s">
        <v>9</v>
      </c>
      <c r="F147" s="39" t="s">
        <v>10</v>
      </c>
      <c r="G147" s="4" t="s">
        <v>11</v>
      </c>
      <c r="H147" s="4" t="s">
        <v>17</v>
      </c>
      <c r="I147" s="4" t="s">
        <v>12</v>
      </c>
      <c r="J147" s="4" t="s">
        <v>18</v>
      </c>
    </row>
    <row r="148" spans="1:10" ht="23.1" customHeight="1" x14ac:dyDescent="0.25">
      <c r="A148" s="124"/>
      <c r="B148" s="6" t="s">
        <v>764</v>
      </c>
      <c r="C148" s="44" t="s">
        <v>537</v>
      </c>
      <c r="D148" s="44" t="s">
        <v>271</v>
      </c>
      <c r="E148" s="44" t="s">
        <v>273</v>
      </c>
      <c r="F148" s="44" t="s">
        <v>13</v>
      </c>
      <c r="G148" s="15" t="s">
        <v>759</v>
      </c>
      <c r="H148" s="7">
        <f>CEILING(113*USD,10)</f>
        <v>7310</v>
      </c>
      <c r="I148" s="8">
        <v>0.2</v>
      </c>
      <c r="J148" s="9">
        <f>CEILING(H148*0.8,10)</f>
        <v>5850</v>
      </c>
    </row>
    <row r="149" spans="1:10" ht="23.1" customHeight="1" x14ac:dyDescent="0.25">
      <c r="A149" s="124"/>
      <c r="B149" s="6" t="s">
        <v>1221</v>
      </c>
      <c r="C149" s="44" t="s">
        <v>537</v>
      </c>
      <c r="D149" s="44" t="s">
        <v>271</v>
      </c>
      <c r="E149" s="44" t="s">
        <v>273</v>
      </c>
      <c r="F149" s="44" t="s">
        <v>13</v>
      </c>
      <c r="G149" s="15" t="s">
        <v>759</v>
      </c>
      <c r="H149" s="7">
        <f>CEILING(123*USD,10)</f>
        <v>7960</v>
      </c>
      <c r="I149" s="8">
        <v>0.2</v>
      </c>
      <c r="J149" s="9">
        <f t="shared" ref="J149:J157" si="7">CEILING(H149*0.8,10)</f>
        <v>6370</v>
      </c>
    </row>
    <row r="150" spans="1:10" ht="23.1" customHeight="1" x14ac:dyDescent="0.25">
      <c r="A150" s="124"/>
      <c r="B150" s="6" t="s">
        <v>765</v>
      </c>
      <c r="C150" s="44" t="s">
        <v>269</v>
      </c>
      <c r="D150" s="44" t="s">
        <v>57</v>
      </c>
      <c r="E150" s="44" t="s">
        <v>273</v>
      </c>
      <c r="F150" s="44" t="s">
        <v>13</v>
      </c>
      <c r="G150" s="15" t="s">
        <v>759</v>
      </c>
      <c r="H150" s="7">
        <f>CEILING(113*USD,10)</f>
        <v>7310</v>
      </c>
      <c r="I150" s="8">
        <v>0.2</v>
      </c>
      <c r="J150" s="9">
        <f t="shared" si="7"/>
        <v>5850</v>
      </c>
    </row>
    <row r="151" spans="1:10" ht="23.1" customHeight="1" x14ac:dyDescent="0.25">
      <c r="A151" s="124"/>
      <c r="B151" s="6" t="s">
        <v>1222</v>
      </c>
      <c r="C151" s="44" t="s">
        <v>269</v>
      </c>
      <c r="D151" s="44" t="s">
        <v>57</v>
      </c>
      <c r="E151" s="44" t="s">
        <v>273</v>
      </c>
      <c r="F151" s="44" t="s">
        <v>13</v>
      </c>
      <c r="G151" s="15" t="s">
        <v>759</v>
      </c>
      <c r="H151" s="7">
        <f>CEILING(123*USD,10)</f>
        <v>7960</v>
      </c>
      <c r="I151" s="8">
        <v>0.2</v>
      </c>
      <c r="J151" s="9">
        <f t="shared" si="7"/>
        <v>6370</v>
      </c>
    </row>
    <row r="152" spans="1:10" ht="23.1" customHeight="1" x14ac:dyDescent="0.25">
      <c r="A152" s="124"/>
      <c r="B152" s="6" t="s">
        <v>766</v>
      </c>
      <c r="C152" s="44" t="s">
        <v>270</v>
      </c>
      <c r="D152" s="44" t="s">
        <v>244</v>
      </c>
      <c r="E152" s="44" t="s">
        <v>273</v>
      </c>
      <c r="F152" s="44" t="s">
        <v>13</v>
      </c>
      <c r="G152" s="15" t="s">
        <v>759</v>
      </c>
      <c r="H152" s="7">
        <f>CEILING(113*USD,10)</f>
        <v>7310</v>
      </c>
      <c r="I152" s="8">
        <v>0.2</v>
      </c>
      <c r="J152" s="9">
        <f t="shared" si="7"/>
        <v>5850</v>
      </c>
    </row>
    <row r="153" spans="1:10" ht="23.1" customHeight="1" x14ac:dyDescent="0.25">
      <c r="A153" s="124"/>
      <c r="B153" s="6" t="s">
        <v>1223</v>
      </c>
      <c r="C153" s="44" t="s">
        <v>270</v>
      </c>
      <c r="D153" s="44" t="s">
        <v>244</v>
      </c>
      <c r="E153" s="44" t="s">
        <v>273</v>
      </c>
      <c r="F153" s="44" t="s">
        <v>13</v>
      </c>
      <c r="G153" s="15" t="s">
        <v>759</v>
      </c>
      <c r="H153" s="7">
        <f>CEILING(123*USD,10)</f>
        <v>7960</v>
      </c>
      <c r="I153" s="8">
        <v>0.2</v>
      </c>
      <c r="J153" s="9">
        <f t="shared" si="7"/>
        <v>6370</v>
      </c>
    </row>
    <row r="154" spans="1:10" ht="23.1" customHeight="1" x14ac:dyDescent="0.25">
      <c r="A154" s="124"/>
      <c r="B154" s="6" t="s">
        <v>767</v>
      </c>
      <c r="C154" s="44" t="s">
        <v>184</v>
      </c>
      <c r="D154" s="44" t="s">
        <v>187</v>
      </c>
      <c r="E154" s="44" t="s">
        <v>273</v>
      </c>
      <c r="F154" s="44" t="s">
        <v>13</v>
      </c>
      <c r="G154" s="15" t="s">
        <v>759</v>
      </c>
      <c r="H154" s="7">
        <f>CEILING(113*USD,10)</f>
        <v>7310</v>
      </c>
      <c r="I154" s="8">
        <v>0.2</v>
      </c>
      <c r="J154" s="9">
        <f t="shared" si="7"/>
        <v>5850</v>
      </c>
    </row>
    <row r="155" spans="1:10" ht="23.1" customHeight="1" x14ac:dyDescent="0.25">
      <c r="A155" s="124"/>
      <c r="B155" s="6" t="s">
        <v>768</v>
      </c>
      <c r="C155" s="44" t="s">
        <v>269</v>
      </c>
      <c r="D155" s="44" t="s">
        <v>57</v>
      </c>
      <c r="E155" s="44" t="s">
        <v>273</v>
      </c>
      <c r="F155" s="44" t="s">
        <v>13</v>
      </c>
      <c r="G155" s="15" t="s">
        <v>1289</v>
      </c>
      <c r="H155" s="7">
        <f>CEILING(145*USD,10)</f>
        <v>9380</v>
      </c>
      <c r="I155" s="8">
        <v>0.2</v>
      </c>
      <c r="J155" s="9">
        <f t="shared" si="7"/>
        <v>7510</v>
      </c>
    </row>
    <row r="156" spans="1:10" ht="23.1" customHeight="1" x14ac:dyDescent="0.25">
      <c r="A156" s="124"/>
      <c r="B156" s="6" t="s">
        <v>769</v>
      </c>
      <c r="C156" s="44" t="s">
        <v>270</v>
      </c>
      <c r="D156" s="44" t="s">
        <v>244</v>
      </c>
      <c r="E156" s="44" t="s">
        <v>273</v>
      </c>
      <c r="F156" s="44" t="s">
        <v>13</v>
      </c>
      <c r="G156" s="15" t="s">
        <v>1289</v>
      </c>
      <c r="H156" s="7">
        <f>CEILING(145*USD,10)</f>
        <v>9380</v>
      </c>
      <c r="I156" s="8">
        <v>0.2</v>
      </c>
      <c r="J156" s="9">
        <f t="shared" si="7"/>
        <v>7510</v>
      </c>
    </row>
    <row r="157" spans="1:10" ht="23.1" customHeight="1" x14ac:dyDescent="0.25">
      <c r="A157" s="124"/>
      <c r="B157" s="6" t="s">
        <v>770</v>
      </c>
      <c r="C157" s="44" t="s">
        <v>184</v>
      </c>
      <c r="D157" s="56" t="s">
        <v>187</v>
      </c>
      <c r="E157" s="44" t="s">
        <v>273</v>
      </c>
      <c r="F157" s="44" t="s">
        <v>13</v>
      </c>
      <c r="G157" s="15" t="s">
        <v>1289</v>
      </c>
      <c r="H157" s="7">
        <f>CEILING(145*USD,10)</f>
        <v>9380</v>
      </c>
      <c r="I157" s="8">
        <v>0.2</v>
      </c>
      <c r="J157" s="9">
        <f t="shared" si="7"/>
        <v>7510</v>
      </c>
    </row>
    <row r="158" spans="1:10" ht="20.100000000000001" customHeight="1" x14ac:dyDescent="0.25">
      <c r="A158" s="139" t="s">
        <v>74</v>
      </c>
      <c r="B158" s="139"/>
      <c r="C158" s="139"/>
      <c r="D158" s="139"/>
      <c r="E158" s="139"/>
      <c r="F158" s="139"/>
      <c r="G158" s="139"/>
      <c r="H158" s="139"/>
      <c r="I158" s="139"/>
      <c r="J158" s="139"/>
    </row>
    <row r="159" spans="1:10" ht="20.100000000000001" customHeight="1" x14ac:dyDescent="0.25">
      <c r="A159" s="135" t="s">
        <v>762</v>
      </c>
      <c r="B159" s="136"/>
      <c r="C159" s="136"/>
      <c r="D159" s="136"/>
      <c r="E159" s="136"/>
      <c r="F159" s="136"/>
      <c r="G159" s="137"/>
      <c r="H159" s="9">
        <f>CEILING(11*USD,10)</f>
        <v>720</v>
      </c>
      <c r="I159" s="8">
        <v>0</v>
      </c>
      <c r="J159" s="9">
        <f>CEILING(H159*1,10)</f>
        <v>720</v>
      </c>
    </row>
    <row r="160" spans="1:10" ht="20.100000000000001" customHeight="1" x14ac:dyDescent="0.25">
      <c r="A160" s="135" t="s">
        <v>763</v>
      </c>
      <c r="B160" s="136"/>
      <c r="C160" s="136"/>
      <c r="D160" s="136"/>
      <c r="E160" s="136"/>
      <c r="F160" s="136"/>
      <c r="G160" s="137"/>
      <c r="H160" s="9">
        <f>CEILING(20*USD,10)</f>
        <v>1300</v>
      </c>
      <c r="I160" s="8">
        <v>0</v>
      </c>
      <c r="J160" s="9">
        <f>CEILING(H160*1,10)</f>
        <v>1300</v>
      </c>
    </row>
    <row r="161" spans="1:10" ht="20.100000000000001" customHeight="1" x14ac:dyDescent="0.25">
      <c r="A161" s="135" t="s">
        <v>761</v>
      </c>
      <c r="B161" s="136"/>
      <c r="C161" s="136"/>
      <c r="D161" s="136"/>
      <c r="E161" s="136"/>
      <c r="F161" s="136"/>
      <c r="G161" s="137"/>
      <c r="H161" s="9">
        <f>CEILING(5*USD,10)</f>
        <v>330</v>
      </c>
      <c r="I161" s="8">
        <v>0</v>
      </c>
      <c r="J161" s="9">
        <f>CEILING(H161*1,10)</f>
        <v>330</v>
      </c>
    </row>
    <row r="162" spans="1:10" ht="20.100000000000001" customHeight="1" x14ac:dyDescent="0.25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</row>
    <row r="163" spans="1:10" ht="30" customHeight="1" x14ac:dyDescent="0.25">
      <c r="A163" s="118" t="s">
        <v>1225</v>
      </c>
      <c r="B163" s="118"/>
      <c r="C163" s="118"/>
      <c r="D163" s="118"/>
      <c r="E163" s="118"/>
      <c r="F163" s="118"/>
      <c r="G163" s="118"/>
      <c r="H163" s="118"/>
      <c r="I163" s="118"/>
      <c r="J163" s="118"/>
    </row>
    <row r="164" spans="1:10" ht="30" customHeight="1" x14ac:dyDescent="0.25">
      <c r="A164" s="44"/>
      <c r="B164" s="39" t="s">
        <v>2</v>
      </c>
      <c r="C164" s="4" t="s">
        <v>48</v>
      </c>
      <c r="D164" s="4" t="s">
        <v>49</v>
      </c>
      <c r="E164" s="39" t="s">
        <v>9</v>
      </c>
      <c r="F164" s="39" t="s">
        <v>10</v>
      </c>
      <c r="G164" s="4" t="s">
        <v>11</v>
      </c>
      <c r="H164" s="4" t="s">
        <v>17</v>
      </c>
      <c r="I164" s="4" t="s">
        <v>12</v>
      </c>
      <c r="J164" s="4" t="s">
        <v>18</v>
      </c>
    </row>
    <row r="165" spans="1:10" ht="30" customHeight="1" x14ac:dyDescent="0.25">
      <c r="A165" s="124"/>
      <c r="B165" s="6" t="s">
        <v>771</v>
      </c>
      <c r="C165" s="44" t="s">
        <v>741</v>
      </c>
      <c r="D165" s="44" t="s">
        <v>271</v>
      </c>
      <c r="E165" s="44" t="s">
        <v>273</v>
      </c>
      <c r="F165" s="44" t="s">
        <v>13</v>
      </c>
      <c r="G165" s="15" t="s">
        <v>742</v>
      </c>
      <c r="H165" s="25">
        <f>CEILING(267*USD,10)</f>
        <v>17260</v>
      </c>
      <c r="I165" s="8">
        <v>0.2</v>
      </c>
      <c r="J165" s="9">
        <f>CEILING(H165*0.8,10)</f>
        <v>13810</v>
      </c>
    </row>
    <row r="166" spans="1:10" ht="30" customHeight="1" x14ac:dyDescent="0.25">
      <c r="A166" s="124"/>
      <c r="B166" s="6" t="s">
        <v>772</v>
      </c>
      <c r="C166" s="44" t="s">
        <v>269</v>
      </c>
      <c r="D166" s="44" t="s">
        <v>57</v>
      </c>
      <c r="E166" s="44" t="s">
        <v>273</v>
      </c>
      <c r="F166" s="44" t="s">
        <v>13</v>
      </c>
      <c r="G166" s="15" t="s">
        <v>742</v>
      </c>
      <c r="H166" s="25">
        <f>CEILING(267*USD,10)</f>
        <v>17260</v>
      </c>
      <c r="I166" s="8">
        <v>0.2</v>
      </c>
      <c r="J166" s="9">
        <f>CEILING(H166*0.8,10)</f>
        <v>13810</v>
      </c>
    </row>
    <row r="167" spans="1:10" ht="30" customHeight="1" x14ac:dyDescent="0.25">
      <c r="A167" s="124"/>
      <c r="B167" s="6" t="s">
        <v>773</v>
      </c>
      <c r="C167" s="44" t="s">
        <v>270</v>
      </c>
      <c r="D167" s="44" t="s">
        <v>244</v>
      </c>
      <c r="E167" s="44" t="s">
        <v>273</v>
      </c>
      <c r="F167" s="44" t="s">
        <v>13</v>
      </c>
      <c r="G167" s="15" t="s">
        <v>742</v>
      </c>
      <c r="H167" s="25">
        <f>CEILING(267*USD,10)</f>
        <v>17260</v>
      </c>
      <c r="I167" s="8">
        <v>0.2</v>
      </c>
      <c r="J167" s="9">
        <f>CEILING(H167*0.8,10)</f>
        <v>13810</v>
      </c>
    </row>
    <row r="168" spans="1:10" ht="30" customHeight="1" x14ac:dyDescent="0.25">
      <c r="A168" s="124"/>
      <c r="B168" s="6" t="s">
        <v>774</v>
      </c>
      <c r="C168" s="44" t="s">
        <v>70</v>
      </c>
      <c r="D168" s="44" t="s">
        <v>187</v>
      </c>
      <c r="E168" s="44" t="s">
        <v>273</v>
      </c>
      <c r="F168" s="44" t="s">
        <v>13</v>
      </c>
      <c r="G168" s="15" t="s">
        <v>742</v>
      </c>
      <c r="H168" s="25">
        <f>CEILING(267*USD,10)</f>
        <v>17260</v>
      </c>
      <c r="I168" s="8">
        <v>0.2</v>
      </c>
      <c r="J168" s="9">
        <f>CEILING(H168*0.8,10)</f>
        <v>13810</v>
      </c>
    </row>
    <row r="169" spans="1:10" ht="20.100000000000001" customHeight="1" x14ac:dyDescent="0.25">
      <c r="A169" s="131"/>
      <c r="B169" s="131"/>
      <c r="C169" s="131"/>
      <c r="D169" s="131"/>
      <c r="E169" s="131"/>
      <c r="F169" s="131"/>
      <c r="G169" s="131"/>
      <c r="H169" s="131"/>
      <c r="I169" s="131"/>
      <c r="J169" s="131"/>
    </row>
    <row r="170" spans="1:10" ht="30" customHeight="1" x14ac:dyDescent="0.25">
      <c r="A170" s="118" t="s">
        <v>1224</v>
      </c>
      <c r="B170" s="118"/>
      <c r="C170" s="118"/>
      <c r="D170" s="118"/>
      <c r="E170" s="118"/>
      <c r="F170" s="118"/>
      <c r="G170" s="118"/>
      <c r="H170" s="118"/>
      <c r="I170" s="118"/>
      <c r="J170" s="118"/>
    </row>
    <row r="171" spans="1:10" ht="30" customHeight="1" x14ac:dyDescent="0.25">
      <c r="A171" s="44"/>
      <c r="B171" s="39" t="s">
        <v>2</v>
      </c>
      <c r="C171" s="4" t="s">
        <v>48</v>
      </c>
      <c r="D171" s="4" t="s">
        <v>49</v>
      </c>
      <c r="E171" s="39" t="s">
        <v>9</v>
      </c>
      <c r="F171" s="39" t="s">
        <v>10</v>
      </c>
      <c r="G171" s="4" t="s">
        <v>11</v>
      </c>
      <c r="H171" s="4" t="s">
        <v>17</v>
      </c>
      <c r="I171" s="4" t="s">
        <v>12</v>
      </c>
      <c r="J171" s="4" t="s">
        <v>18</v>
      </c>
    </row>
    <row r="172" spans="1:10" ht="30" customHeight="1" x14ac:dyDescent="0.25">
      <c r="A172" s="124"/>
      <c r="B172" s="6" t="s">
        <v>775</v>
      </c>
      <c r="C172" s="44" t="s">
        <v>555</v>
      </c>
      <c r="D172" s="44" t="s">
        <v>271</v>
      </c>
      <c r="E172" s="44" t="s">
        <v>273</v>
      </c>
      <c r="F172" s="44" t="s">
        <v>13</v>
      </c>
      <c r="G172" s="15" t="s">
        <v>733</v>
      </c>
      <c r="H172" s="25">
        <f>CEILING(342*USD,10)</f>
        <v>22110</v>
      </c>
      <c r="I172" s="8">
        <v>0.2</v>
      </c>
      <c r="J172" s="9">
        <f>CEILING(H172*0.8,10)</f>
        <v>17690</v>
      </c>
    </row>
    <row r="173" spans="1:10" ht="30" customHeight="1" x14ac:dyDescent="0.25">
      <c r="A173" s="124"/>
      <c r="B173" s="6" t="s">
        <v>776</v>
      </c>
      <c r="C173" s="44" t="s">
        <v>578</v>
      </c>
      <c r="D173" s="44" t="s">
        <v>57</v>
      </c>
      <c r="E173" s="44" t="s">
        <v>273</v>
      </c>
      <c r="F173" s="44" t="s">
        <v>13</v>
      </c>
      <c r="G173" s="15" t="s">
        <v>733</v>
      </c>
      <c r="H173" s="25">
        <f>CEILING(342*USD,10)</f>
        <v>22110</v>
      </c>
      <c r="I173" s="8">
        <v>0.2</v>
      </c>
      <c r="J173" s="9">
        <f>CEILING(H173*0.8,10)</f>
        <v>17690</v>
      </c>
    </row>
    <row r="174" spans="1:10" ht="30" customHeight="1" x14ac:dyDescent="0.25">
      <c r="A174" s="124"/>
      <c r="B174" s="6" t="s">
        <v>777</v>
      </c>
      <c r="C174" s="44" t="s">
        <v>68</v>
      </c>
      <c r="D174" s="44" t="s">
        <v>244</v>
      </c>
      <c r="E174" s="44" t="s">
        <v>273</v>
      </c>
      <c r="F174" s="44" t="s">
        <v>13</v>
      </c>
      <c r="G174" s="15" t="s">
        <v>733</v>
      </c>
      <c r="H174" s="25">
        <f>CEILING(342*USD,10)</f>
        <v>22110</v>
      </c>
      <c r="I174" s="8">
        <v>0.2</v>
      </c>
      <c r="J174" s="9">
        <f>CEILING(H174*0.8,10)</f>
        <v>17690</v>
      </c>
    </row>
    <row r="175" spans="1:10" ht="30" customHeight="1" x14ac:dyDescent="0.25">
      <c r="A175" s="124"/>
      <c r="B175" s="6" t="s">
        <v>778</v>
      </c>
      <c r="C175" s="44" t="s">
        <v>184</v>
      </c>
      <c r="D175" s="44" t="s">
        <v>187</v>
      </c>
      <c r="E175" s="44" t="s">
        <v>273</v>
      </c>
      <c r="F175" s="44" t="s">
        <v>13</v>
      </c>
      <c r="G175" s="15" t="s">
        <v>733</v>
      </c>
      <c r="H175" s="25">
        <f>CEILING(342*USD,10)</f>
        <v>22110</v>
      </c>
      <c r="I175" s="8">
        <v>0.2</v>
      </c>
      <c r="J175" s="9">
        <f>CEILING(H175*0.8,10)</f>
        <v>17690</v>
      </c>
    </row>
    <row r="176" spans="1:10" ht="20.100000000000001" customHeight="1" x14ac:dyDescent="0.25">
      <c r="A176" s="131"/>
      <c r="B176" s="131"/>
      <c r="C176" s="131"/>
      <c r="D176" s="131"/>
      <c r="E176" s="131"/>
      <c r="F176" s="131"/>
      <c r="G176" s="131"/>
      <c r="H176" s="131"/>
      <c r="I176" s="131"/>
      <c r="J176" s="131"/>
    </row>
    <row r="177" spans="1:10" ht="30" customHeight="1" x14ac:dyDescent="0.25">
      <c r="A177" s="118" t="s">
        <v>1226</v>
      </c>
      <c r="B177" s="118"/>
      <c r="C177" s="118"/>
      <c r="D177" s="118"/>
      <c r="E177" s="118"/>
      <c r="F177" s="118"/>
      <c r="G177" s="118"/>
      <c r="H177" s="118"/>
      <c r="I177" s="118"/>
      <c r="J177" s="118"/>
    </row>
    <row r="178" spans="1:10" ht="30" customHeight="1" x14ac:dyDescent="0.25">
      <c r="A178" s="44"/>
      <c r="B178" s="39" t="s">
        <v>2</v>
      </c>
      <c r="C178" s="4" t="s">
        <v>48</v>
      </c>
      <c r="D178" s="4" t="s">
        <v>49</v>
      </c>
      <c r="E178" s="39" t="s">
        <v>9</v>
      </c>
      <c r="F178" s="39" t="s">
        <v>10</v>
      </c>
      <c r="G178" s="4" t="s">
        <v>11</v>
      </c>
      <c r="H178" s="4" t="s">
        <v>17</v>
      </c>
      <c r="I178" s="4" t="s">
        <v>12</v>
      </c>
      <c r="J178" s="4" t="s">
        <v>18</v>
      </c>
    </row>
    <row r="179" spans="1:10" ht="39.950000000000003" customHeight="1" x14ac:dyDescent="0.25">
      <c r="A179" s="124"/>
      <c r="B179" s="6" t="s">
        <v>1227</v>
      </c>
      <c r="C179" s="44" t="s">
        <v>70</v>
      </c>
      <c r="D179" s="44" t="s">
        <v>187</v>
      </c>
      <c r="E179" s="44" t="s">
        <v>273</v>
      </c>
      <c r="F179" s="44" t="s">
        <v>13</v>
      </c>
      <c r="G179" s="15" t="s">
        <v>1230</v>
      </c>
      <c r="H179" s="25">
        <f>CEILING(437*USD,10)</f>
        <v>28250</v>
      </c>
      <c r="I179" s="8">
        <v>0.2</v>
      </c>
      <c r="J179" s="9">
        <f>CEILING(H179*0.8,10)</f>
        <v>22600</v>
      </c>
    </row>
    <row r="180" spans="1:10" ht="39.950000000000003" customHeight="1" x14ac:dyDescent="0.25">
      <c r="A180" s="124"/>
      <c r="B180" s="6" t="s">
        <v>1228</v>
      </c>
      <c r="C180" s="44" t="s">
        <v>572</v>
      </c>
      <c r="D180" s="44" t="s">
        <v>538</v>
      </c>
      <c r="E180" s="44" t="s">
        <v>273</v>
      </c>
      <c r="F180" s="44" t="s">
        <v>13</v>
      </c>
      <c r="G180" s="15" t="s">
        <v>1230</v>
      </c>
      <c r="H180" s="25">
        <f>CEILING(437*USD,10)</f>
        <v>28250</v>
      </c>
      <c r="I180" s="8">
        <v>0.2</v>
      </c>
      <c r="J180" s="9">
        <f>CEILING(H180*0.8,10)</f>
        <v>22600</v>
      </c>
    </row>
    <row r="181" spans="1:10" ht="39.950000000000003" customHeight="1" x14ac:dyDescent="0.25">
      <c r="A181" s="124"/>
      <c r="B181" s="6" t="s">
        <v>1229</v>
      </c>
      <c r="C181" s="44" t="s">
        <v>602</v>
      </c>
      <c r="D181" s="44" t="s">
        <v>539</v>
      </c>
      <c r="E181" s="44" t="s">
        <v>273</v>
      </c>
      <c r="F181" s="44" t="s">
        <v>13</v>
      </c>
      <c r="G181" s="15" t="s">
        <v>1230</v>
      </c>
      <c r="H181" s="25">
        <f>CEILING(437*USD,10)</f>
        <v>28250</v>
      </c>
      <c r="I181" s="8">
        <v>0.2</v>
      </c>
      <c r="J181" s="9">
        <f>CEILING(H181*0.8,10)</f>
        <v>22600</v>
      </c>
    </row>
    <row r="182" spans="1:10" ht="20.100000000000001" customHeight="1" x14ac:dyDescent="0.25">
      <c r="A182" s="131"/>
      <c r="B182" s="131"/>
      <c r="C182" s="131"/>
      <c r="D182" s="131"/>
      <c r="E182" s="131"/>
      <c r="F182" s="131"/>
      <c r="G182" s="131"/>
      <c r="H182" s="131"/>
      <c r="I182" s="131"/>
      <c r="J182" s="131"/>
    </row>
    <row r="183" spans="1:10" ht="30" customHeight="1" x14ac:dyDescent="0.25">
      <c r="A183" s="118" t="s">
        <v>1231</v>
      </c>
      <c r="B183" s="118"/>
      <c r="C183" s="118"/>
      <c r="D183" s="118"/>
      <c r="E183" s="118"/>
      <c r="F183" s="118"/>
      <c r="G183" s="118"/>
      <c r="H183" s="118"/>
      <c r="I183" s="118"/>
      <c r="J183" s="118"/>
    </row>
    <row r="184" spans="1:10" ht="30" customHeight="1" x14ac:dyDescent="0.25">
      <c r="A184" s="44"/>
      <c r="B184" s="39" t="s">
        <v>2</v>
      </c>
      <c r="C184" s="4" t="s">
        <v>48</v>
      </c>
      <c r="D184" s="4" t="s">
        <v>49</v>
      </c>
      <c r="E184" s="39" t="s">
        <v>9</v>
      </c>
      <c r="F184" s="39" t="s">
        <v>10</v>
      </c>
      <c r="G184" s="4" t="s">
        <v>11</v>
      </c>
      <c r="H184" s="4" t="s">
        <v>17</v>
      </c>
      <c r="I184" s="4" t="s">
        <v>12</v>
      </c>
      <c r="J184" s="4" t="s">
        <v>18</v>
      </c>
    </row>
    <row r="185" spans="1:10" ht="20.100000000000001" customHeight="1" x14ac:dyDescent="0.25">
      <c r="A185" s="124"/>
      <c r="B185" s="6" t="s">
        <v>779</v>
      </c>
      <c r="C185" s="44" t="s">
        <v>578</v>
      </c>
      <c r="D185" s="44" t="s">
        <v>244</v>
      </c>
      <c r="E185" s="44" t="s">
        <v>273</v>
      </c>
      <c r="F185" s="44" t="s">
        <v>13</v>
      </c>
      <c r="G185" s="15" t="s">
        <v>787</v>
      </c>
      <c r="H185" s="7">
        <f>CEILING(538*USD,10)</f>
        <v>34780</v>
      </c>
      <c r="I185" s="8">
        <v>0.2</v>
      </c>
      <c r="J185" s="9">
        <f t="shared" ref="J185:J190" si="8">CEILING(H185*0.8,10)</f>
        <v>27830</v>
      </c>
    </row>
    <row r="186" spans="1:10" ht="20.100000000000001" customHeight="1" x14ac:dyDescent="0.25">
      <c r="A186" s="124"/>
      <c r="B186" s="6" t="s">
        <v>780</v>
      </c>
      <c r="C186" s="44" t="s">
        <v>68</v>
      </c>
      <c r="D186" s="44" t="s">
        <v>187</v>
      </c>
      <c r="E186" s="44" t="s">
        <v>273</v>
      </c>
      <c r="F186" s="44" t="s">
        <v>13</v>
      </c>
      <c r="G186" s="15" t="s">
        <v>787</v>
      </c>
      <c r="H186" s="7">
        <f>CEILING(538*USD,10)</f>
        <v>34780</v>
      </c>
      <c r="I186" s="8">
        <v>0.2</v>
      </c>
      <c r="J186" s="9">
        <f t="shared" si="8"/>
        <v>27830</v>
      </c>
    </row>
    <row r="187" spans="1:10" ht="20.100000000000001" customHeight="1" x14ac:dyDescent="0.25">
      <c r="A187" s="124"/>
      <c r="B187" s="6" t="s">
        <v>781</v>
      </c>
      <c r="C187" s="44" t="s">
        <v>184</v>
      </c>
      <c r="D187" s="44" t="s">
        <v>538</v>
      </c>
      <c r="E187" s="44" t="s">
        <v>273</v>
      </c>
      <c r="F187" s="44" t="s">
        <v>13</v>
      </c>
      <c r="G187" s="15" t="s">
        <v>787</v>
      </c>
      <c r="H187" s="7">
        <f>CEILING(538*USD,10)</f>
        <v>34780</v>
      </c>
      <c r="I187" s="8">
        <v>0.2</v>
      </c>
      <c r="J187" s="9">
        <f t="shared" si="8"/>
        <v>27830</v>
      </c>
    </row>
    <row r="188" spans="1:10" ht="20.100000000000001" customHeight="1" x14ac:dyDescent="0.25">
      <c r="A188" s="124"/>
      <c r="B188" s="6" t="s">
        <v>782</v>
      </c>
      <c r="C188" s="44" t="s">
        <v>72</v>
      </c>
      <c r="D188" s="44" t="s">
        <v>539</v>
      </c>
      <c r="E188" s="44" t="s">
        <v>273</v>
      </c>
      <c r="F188" s="44" t="s">
        <v>13</v>
      </c>
      <c r="G188" s="15" t="s">
        <v>788</v>
      </c>
      <c r="H188" s="7">
        <f>CEILING(553*USD,10)</f>
        <v>35750</v>
      </c>
      <c r="I188" s="8">
        <v>0.2</v>
      </c>
      <c r="J188" s="9">
        <f t="shared" si="8"/>
        <v>28600</v>
      </c>
    </row>
    <row r="189" spans="1:10" ht="20.100000000000001" customHeight="1" x14ac:dyDescent="0.25">
      <c r="A189" s="124"/>
      <c r="B189" s="6" t="s">
        <v>783</v>
      </c>
      <c r="C189" s="44" t="s">
        <v>589</v>
      </c>
      <c r="D189" s="44" t="s">
        <v>786</v>
      </c>
      <c r="E189" s="44" t="s">
        <v>273</v>
      </c>
      <c r="F189" s="44" t="s">
        <v>13</v>
      </c>
      <c r="G189" s="15" t="s">
        <v>788</v>
      </c>
      <c r="H189" s="7">
        <f>CEILING(553*USD,10)</f>
        <v>35750</v>
      </c>
      <c r="I189" s="8">
        <v>0.2</v>
      </c>
      <c r="J189" s="9">
        <f t="shared" si="8"/>
        <v>28600</v>
      </c>
    </row>
    <row r="190" spans="1:10" ht="20.100000000000001" customHeight="1" x14ac:dyDescent="0.25">
      <c r="A190" s="124"/>
      <c r="B190" s="6" t="s">
        <v>784</v>
      </c>
      <c r="C190" s="44" t="s">
        <v>785</v>
      </c>
      <c r="D190" s="44" t="s">
        <v>241</v>
      </c>
      <c r="E190" s="44" t="s">
        <v>273</v>
      </c>
      <c r="F190" s="44" t="s">
        <v>13</v>
      </c>
      <c r="G190" s="15" t="s">
        <v>789</v>
      </c>
      <c r="H190" s="7">
        <f>CEILING(768*USD,10)</f>
        <v>49650</v>
      </c>
      <c r="I190" s="8">
        <v>0.2</v>
      </c>
      <c r="J190" s="9">
        <f t="shared" si="8"/>
        <v>39720</v>
      </c>
    </row>
    <row r="191" spans="1:10" ht="20.100000000000001" customHeight="1" x14ac:dyDescent="0.25">
      <c r="A191" s="131"/>
      <c r="B191" s="131"/>
      <c r="C191" s="131"/>
      <c r="D191" s="131"/>
      <c r="E191" s="131"/>
      <c r="F191" s="131"/>
      <c r="G191" s="131"/>
      <c r="H191" s="131"/>
      <c r="I191" s="131"/>
      <c r="J191" s="131"/>
    </row>
    <row r="192" spans="1:10" ht="30" customHeight="1" x14ac:dyDescent="0.25">
      <c r="A192" s="118" t="s">
        <v>1232</v>
      </c>
      <c r="B192" s="118"/>
      <c r="C192" s="118"/>
      <c r="D192" s="118"/>
      <c r="E192" s="118"/>
      <c r="F192" s="118"/>
      <c r="G192" s="118"/>
      <c r="H192" s="118"/>
      <c r="I192" s="118"/>
      <c r="J192" s="118"/>
    </row>
    <row r="193" spans="1:10" ht="30" customHeight="1" x14ac:dyDescent="0.25">
      <c r="A193" s="44"/>
      <c r="B193" s="39" t="s">
        <v>2</v>
      </c>
      <c r="C193" s="4" t="s">
        <v>48</v>
      </c>
      <c r="D193" s="4" t="s">
        <v>49</v>
      </c>
      <c r="E193" s="39" t="s">
        <v>9</v>
      </c>
      <c r="F193" s="39" t="s">
        <v>10</v>
      </c>
      <c r="G193" s="4" t="s">
        <v>11</v>
      </c>
      <c r="H193" s="4" t="s">
        <v>17</v>
      </c>
      <c r="I193" s="4" t="s">
        <v>12</v>
      </c>
      <c r="J193" s="4" t="s">
        <v>18</v>
      </c>
    </row>
    <row r="194" spans="1:10" ht="30" customHeight="1" x14ac:dyDescent="0.25">
      <c r="A194" s="124"/>
      <c r="B194" s="6" t="s">
        <v>1389</v>
      </c>
      <c r="C194" s="44" t="s">
        <v>72</v>
      </c>
      <c r="D194" s="44" t="s">
        <v>539</v>
      </c>
      <c r="E194" s="44" t="s">
        <v>273</v>
      </c>
      <c r="F194" s="44" t="s">
        <v>13</v>
      </c>
      <c r="G194" s="15" t="s">
        <v>792</v>
      </c>
      <c r="H194" s="25">
        <f>CEILING(310*USD,10)</f>
        <v>20040</v>
      </c>
      <c r="I194" s="8">
        <v>0.2</v>
      </c>
      <c r="J194" s="9">
        <f>CEILING(H194*0.8,10)</f>
        <v>16040</v>
      </c>
    </row>
    <row r="195" spans="1:10" ht="30" customHeight="1" x14ac:dyDescent="0.25">
      <c r="A195" s="124"/>
      <c r="B195" s="6" t="s">
        <v>1390</v>
      </c>
      <c r="C195" s="44" t="s">
        <v>602</v>
      </c>
      <c r="D195" s="44" t="s">
        <v>786</v>
      </c>
      <c r="E195" s="44" t="s">
        <v>273</v>
      </c>
      <c r="F195" s="44" t="s">
        <v>13</v>
      </c>
      <c r="G195" s="15" t="s">
        <v>792</v>
      </c>
      <c r="H195" s="25">
        <f>CEILING(310*USD,10)</f>
        <v>20040</v>
      </c>
      <c r="I195" s="8">
        <v>0.2</v>
      </c>
      <c r="J195" s="9">
        <f>CEILING(H195*0.8,10)</f>
        <v>16040</v>
      </c>
    </row>
    <row r="196" spans="1:10" ht="30" customHeight="1" x14ac:dyDescent="0.25">
      <c r="A196" s="124"/>
      <c r="B196" s="6" t="s">
        <v>1391</v>
      </c>
      <c r="C196" s="44" t="s">
        <v>589</v>
      </c>
      <c r="D196" s="44" t="s">
        <v>786</v>
      </c>
      <c r="E196" s="44" t="s">
        <v>273</v>
      </c>
      <c r="F196" s="44" t="s">
        <v>13</v>
      </c>
      <c r="G196" s="15" t="s">
        <v>793</v>
      </c>
      <c r="H196" s="25">
        <f>CEILING(331*USD,10)</f>
        <v>21400</v>
      </c>
      <c r="I196" s="8">
        <v>0.2</v>
      </c>
      <c r="J196" s="9">
        <f>CEILING(H196*0.8,10)</f>
        <v>17120</v>
      </c>
    </row>
    <row r="197" spans="1:10" ht="30" customHeight="1" x14ac:dyDescent="0.25">
      <c r="A197" s="124"/>
      <c r="B197" s="6" t="s">
        <v>426</v>
      </c>
      <c r="C197" s="44" t="s">
        <v>790</v>
      </c>
      <c r="D197" s="44" t="s">
        <v>791</v>
      </c>
      <c r="E197" s="44" t="s">
        <v>273</v>
      </c>
      <c r="F197" s="44" t="s">
        <v>13</v>
      </c>
      <c r="G197" s="15" t="s">
        <v>793</v>
      </c>
      <c r="H197" s="25">
        <f>CEILING(331*USD,10)</f>
        <v>21400</v>
      </c>
      <c r="I197" s="8">
        <v>0.2</v>
      </c>
      <c r="J197" s="9">
        <f>CEILING(H197*0.8,10)</f>
        <v>17120</v>
      </c>
    </row>
    <row r="198" spans="1:10" ht="20.100000000000001" customHeight="1" x14ac:dyDescent="0.25">
      <c r="A198" s="131"/>
      <c r="B198" s="131"/>
      <c r="C198" s="131"/>
      <c r="D198" s="131"/>
      <c r="E198" s="131"/>
      <c r="F198" s="131"/>
      <c r="G198" s="131"/>
      <c r="H198" s="131"/>
      <c r="I198" s="131"/>
      <c r="J198" s="131"/>
    </row>
    <row r="199" spans="1:10" ht="30" customHeight="1" x14ac:dyDescent="0.25">
      <c r="A199" s="118" t="s">
        <v>1233</v>
      </c>
      <c r="B199" s="118"/>
      <c r="C199" s="118"/>
      <c r="D199" s="118"/>
      <c r="E199" s="118"/>
      <c r="F199" s="118"/>
      <c r="G199" s="118"/>
      <c r="H199" s="118"/>
      <c r="I199" s="118"/>
      <c r="J199" s="118"/>
    </row>
    <row r="200" spans="1:10" ht="30" customHeight="1" x14ac:dyDescent="0.25">
      <c r="A200" s="44"/>
      <c r="B200" s="39" t="s">
        <v>2</v>
      </c>
      <c r="C200" s="4" t="s">
        <v>48</v>
      </c>
      <c r="D200" s="4" t="s">
        <v>49</v>
      </c>
      <c r="E200" s="39" t="s">
        <v>9</v>
      </c>
      <c r="F200" s="39" t="s">
        <v>10</v>
      </c>
      <c r="G200" s="4" t="s">
        <v>11</v>
      </c>
      <c r="H200" s="4" t="s">
        <v>17</v>
      </c>
      <c r="I200" s="4" t="s">
        <v>12</v>
      </c>
      <c r="J200" s="4" t="s">
        <v>18</v>
      </c>
    </row>
    <row r="201" spans="1:10" ht="30" customHeight="1" x14ac:dyDescent="0.25">
      <c r="A201" s="124"/>
      <c r="B201" s="6" t="s">
        <v>794</v>
      </c>
      <c r="C201" s="44" t="s">
        <v>798</v>
      </c>
      <c r="D201" s="44" t="s">
        <v>799</v>
      </c>
      <c r="E201" s="44" t="s">
        <v>273</v>
      </c>
      <c r="F201" s="44" t="s">
        <v>13</v>
      </c>
      <c r="G201" s="15" t="s">
        <v>793</v>
      </c>
      <c r="H201" s="25">
        <f>CEILING(296*USD,10)</f>
        <v>19140</v>
      </c>
      <c r="I201" s="8">
        <v>0.2</v>
      </c>
      <c r="J201" s="9">
        <f>CEILING(H201*0.8,10)</f>
        <v>15320</v>
      </c>
    </row>
    <row r="202" spans="1:10" ht="30" customHeight="1" x14ac:dyDescent="0.25">
      <c r="A202" s="124"/>
      <c r="B202" s="6" t="s">
        <v>795</v>
      </c>
      <c r="C202" s="44" t="s">
        <v>800</v>
      </c>
      <c r="D202" s="44" t="s">
        <v>801</v>
      </c>
      <c r="E202" s="44" t="s">
        <v>273</v>
      </c>
      <c r="F202" s="44" t="s">
        <v>13</v>
      </c>
      <c r="G202" s="15" t="s">
        <v>793</v>
      </c>
      <c r="H202" s="25">
        <f>CEILING(296*USD,10)</f>
        <v>19140</v>
      </c>
      <c r="I202" s="8">
        <v>0.2</v>
      </c>
      <c r="J202" s="9">
        <f>CEILING(H202*0.8,10)</f>
        <v>15320</v>
      </c>
    </row>
    <row r="203" spans="1:10" ht="30" customHeight="1" x14ac:dyDescent="0.25">
      <c r="A203" s="124"/>
      <c r="B203" s="6" t="s">
        <v>796</v>
      </c>
      <c r="C203" s="44" t="s">
        <v>800</v>
      </c>
      <c r="D203" s="44" t="s">
        <v>801</v>
      </c>
      <c r="E203" s="44" t="s">
        <v>273</v>
      </c>
      <c r="F203" s="44" t="s">
        <v>13</v>
      </c>
      <c r="G203" s="15" t="s">
        <v>793</v>
      </c>
      <c r="H203" s="25">
        <f>CEILING(296*USD,10)</f>
        <v>19140</v>
      </c>
      <c r="I203" s="8">
        <v>0.2</v>
      </c>
      <c r="J203" s="9">
        <f>CEILING(H203*0.8,10)</f>
        <v>15320</v>
      </c>
    </row>
    <row r="204" spans="1:10" ht="30" customHeight="1" x14ac:dyDescent="0.25">
      <c r="A204" s="124"/>
      <c r="B204" s="6" t="s">
        <v>797</v>
      </c>
      <c r="C204" s="44" t="s">
        <v>802</v>
      </c>
      <c r="D204" s="44" t="s">
        <v>803</v>
      </c>
      <c r="E204" s="44" t="s">
        <v>273</v>
      </c>
      <c r="F204" s="44" t="s">
        <v>13</v>
      </c>
      <c r="G204" s="15" t="s">
        <v>804</v>
      </c>
      <c r="H204" s="25">
        <f>CEILING(498*USD,10)</f>
        <v>32200</v>
      </c>
      <c r="I204" s="8">
        <v>0.2</v>
      </c>
      <c r="J204" s="9">
        <f>CEILING(H204*0.8,10)</f>
        <v>25760</v>
      </c>
    </row>
    <row r="205" spans="1:10" ht="20.100000000000001" customHeight="1" x14ac:dyDescent="0.25">
      <c r="A205" s="131"/>
      <c r="B205" s="131"/>
      <c r="C205" s="131"/>
      <c r="D205" s="131"/>
      <c r="E205" s="131"/>
      <c r="F205" s="131"/>
      <c r="G205" s="131"/>
      <c r="H205" s="131"/>
      <c r="I205" s="131"/>
      <c r="J205" s="131"/>
    </row>
    <row r="206" spans="1:10" ht="30" customHeight="1" x14ac:dyDescent="0.25">
      <c r="A206" s="118" t="s">
        <v>1234</v>
      </c>
      <c r="B206" s="118"/>
      <c r="C206" s="118"/>
      <c r="D206" s="118"/>
      <c r="E206" s="118"/>
      <c r="F206" s="118"/>
      <c r="G206" s="118"/>
      <c r="H206" s="118"/>
      <c r="I206" s="118"/>
      <c r="J206" s="118"/>
    </row>
    <row r="207" spans="1:10" ht="30" customHeight="1" x14ac:dyDescent="0.25">
      <c r="A207" s="44"/>
      <c r="B207" s="39" t="s">
        <v>2</v>
      </c>
      <c r="C207" s="4" t="s">
        <v>48</v>
      </c>
      <c r="D207" s="4" t="s">
        <v>49</v>
      </c>
      <c r="E207" s="39" t="s">
        <v>9</v>
      </c>
      <c r="F207" s="39" t="s">
        <v>10</v>
      </c>
      <c r="G207" s="4" t="s">
        <v>11</v>
      </c>
      <c r="H207" s="4" t="s">
        <v>17</v>
      </c>
      <c r="I207" s="4" t="s">
        <v>12</v>
      </c>
      <c r="J207" s="4" t="s">
        <v>18</v>
      </c>
    </row>
    <row r="208" spans="1:10" ht="60" customHeight="1" x14ac:dyDescent="0.25">
      <c r="A208" s="124"/>
      <c r="B208" s="26" t="s">
        <v>805</v>
      </c>
      <c r="C208" s="44" t="s">
        <v>798</v>
      </c>
      <c r="D208" s="44" t="s">
        <v>799</v>
      </c>
      <c r="E208" s="44" t="s">
        <v>273</v>
      </c>
      <c r="F208" s="44" t="s">
        <v>13</v>
      </c>
      <c r="G208" s="15" t="s">
        <v>808</v>
      </c>
      <c r="H208" s="25">
        <f>CEILING(254*USD,10)</f>
        <v>16420</v>
      </c>
      <c r="I208" s="8">
        <v>0.2</v>
      </c>
      <c r="J208" s="9">
        <f>CEILING(H208*0.8,10)</f>
        <v>13140</v>
      </c>
    </row>
    <row r="209" spans="1:10" ht="60" customHeight="1" x14ac:dyDescent="0.25">
      <c r="A209" s="124"/>
      <c r="B209" s="26" t="s">
        <v>806</v>
      </c>
      <c r="C209" s="44" t="s">
        <v>807</v>
      </c>
      <c r="D209" s="44" t="s">
        <v>803</v>
      </c>
      <c r="E209" s="44" t="s">
        <v>273</v>
      </c>
      <c r="F209" s="44" t="s">
        <v>13</v>
      </c>
      <c r="G209" s="15" t="s">
        <v>808</v>
      </c>
      <c r="H209" s="25">
        <f>CEILING(254*USD,10)</f>
        <v>16420</v>
      </c>
      <c r="I209" s="8">
        <v>0.2</v>
      </c>
      <c r="J209" s="9">
        <f>CEILING(H209*0.8,10)</f>
        <v>13140</v>
      </c>
    </row>
    <row r="210" spans="1:10" ht="20.100000000000001" customHeight="1" x14ac:dyDescent="0.25">
      <c r="A210" s="131"/>
      <c r="B210" s="131"/>
      <c r="C210" s="131"/>
      <c r="D210" s="131"/>
      <c r="E210" s="131"/>
      <c r="F210" s="131"/>
      <c r="G210" s="131"/>
      <c r="H210" s="131"/>
      <c r="I210" s="131"/>
      <c r="J210" s="131"/>
    </row>
    <row r="211" spans="1:10" ht="30" customHeight="1" x14ac:dyDescent="0.25">
      <c r="A211" s="118" t="s">
        <v>1247</v>
      </c>
      <c r="B211" s="118"/>
      <c r="C211" s="118"/>
      <c r="D211" s="118"/>
      <c r="E211" s="118"/>
      <c r="F211" s="118"/>
      <c r="G211" s="118"/>
      <c r="H211" s="118"/>
      <c r="I211" s="118"/>
      <c r="J211" s="118"/>
    </row>
    <row r="212" spans="1:10" ht="30" customHeight="1" x14ac:dyDescent="0.25">
      <c r="A212" s="44"/>
      <c r="B212" s="39" t="s">
        <v>2</v>
      </c>
      <c r="C212" s="4" t="s">
        <v>48</v>
      </c>
      <c r="D212" s="4" t="s">
        <v>49</v>
      </c>
      <c r="E212" s="39" t="s">
        <v>9</v>
      </c>
      <c r="F212" s="39" t="s">
        <v>10</v>
      </c>
      <c r="G212" s="4" t="s">
        <v>11</v>
      </c>
      <c r="H212" s="4" t="s">
        <v>17</v>
      </c>
      <c r="I212" s="4" t="s">
        <v>12</v>
      </c>
      <c r="J212" s="4" t="s">
        <v>18</v>
      </c>
    </row>
    <row r="213" spans="1:10" ht="30" customHeight="1" x14ac:dyDescent="0.25">
      <c r="A213" s="124"/>
      <c r="B213" s="6" t="s">
        <v>1235</v>
      </c>
      <c r="C213" s="44" t="s">
        <v>798</v>
      </c>
      <c r="D213" s="44" t="s">
        <v>799</v>
      </c>
      <c r="E213" s="44" t="s">
        <v>273</v>
      </c>
      <c r="F213" s="44" t="s">
        <v>13</v>
      </c>
      <c r="G213" s="15" t="s">
        <v>1290</v>
      </c>
      <c r="H213" s="7">
        <f>CEILING(341*USD,10)</f>
        <v>22050</v>
      </c>
      <c r="I213" s="8">
        <v>0.15</v>
      </c>
      <c r="J213" s="9">
        <f>CEILING(H213*0.85,10)</f>
        <v>18750</v>
      </c>
    </row>
    <row r="214" spans="1:10" ht="30" customHeight="1" x14ac:dyDescent="0.25">
      <c r="A214" s="124"/>
      <c r="B214" s="6" t="s">
        <v>1236</v>
      </c>
      <c r="C214" s="44" t="s">
        <v>800</v>
      </c>
      <c r="D214" s="44" t="s">
        <v>801</v>
      </c>
      <c r="E214" s="44" t="s">
        <v>273</v>
      </c>
      <c r="F214" s="44" t="s">
        <v>13</v>
      </c>
      <c r="G214" s="15" t="s">
        <v>1290</v>
      </c>
      <c r="H214" s="7">
        <f>CEILING(341*USD,10)</f>
        <v>22050</v>
      </c>
      <c r="I214" s="8">
        <v>0.15</v>
      </c>
      <c r="J214" s="9">
        <f>CEILING(H214*0.85,10)</f>
        <v>18750</v>
      </c>
    </row>
    <row r="215" spans="1:10" ht="30" customHeight="1" x14ac:dyDescent="0.25">
      <c r="A215" s="124"/>
      <c r="B215" s="6" t="s">
        <v>1237</v>
      </c>
      <c r="C215" s="44" t="s">
        <v>802</v>
      </c>
      <c r="D215" s="44" t="s">
        <v>803</v>
      </c>
      <c r="E215" s="44" t="s">
        <v>273</v>
      </c>
      <c r="F215" s="44" t="s">
        <v>13</v>
      </c>
      <c r="G215" s="15" t="s">
        <v>1243</v>
      </c>
      <c r="H215" s="7">
        <f>CEILING(532*USD,10)</f>
        <v>34390</v>
      </c>
      <c r="I215" s="8">
        <v>0.2</v>
      </c>
      <c r="J215" s="9">
        <f t="shared" ref="J215:J220" si="9">CEILING(H215*0.8,10)</f>
        <v>27520</v>
      </c>
    </row>
    <row r="216" spans="1:10" ht="30" customHeight="1" x14ac:dyDescent="0.25">
      <c r="A216" s="124"/>
      <c r="B216" s="6" t="s">
        <v>1238</v>
      </c>
      <c r="C216" s="44" t="s">
        <v>802</v>
      </c>
      <c r="D216" s="44" t="s">
        <v>803</v>
      </c>
      <c r="E216" s="44" t="s">
        <v>273</v>
      </c>
      <c r="F216" s="44" t="s">
        <v>13</v>
      </c>
      <c r="G216" s="15" t="s">
        <v>1244</v>
      </c>
      <c r="H216" s="7">
        <f>CEILING(576*USD,10)</f>
        <v>37240</v>
      </c>
      <c r="I216" s="8">
        <v>0.2</v>
      </c>
      <c r="J216" s="9">
        <f t="shared" si="9"/>
        <v>29800</v>
      </c>
    </row>
    <row r="217" spans="1:10" ht="30" customHeight="1" x14ac:dyDescent="0.25">
      <c r="A217" s="124"/>
      <c r="B217" s="6" t="s">
        <v>1239</v>
      </c>
      <c r="C217" s="44" t="s">
        <v>802</v>
      </c>
      <c r="D217" s="44" t="s">
        <v>803</v>
      </c>
      <c r="E217" s="44" t="s">
        <v>273</v>
      </c>
      <c r="F217" s="44" t="s">
        <v>13</v>
      </c>
      <c r="G217" s="15" t="s">
        <v>1245</v>
      </c>
      <c r="H217" s="7">
        <f>CEILING(624*USD,10)</f>
        <v>40340</v>
      </c>
      <c r="I217" s="8">
        <v>0.2</v>
      </c>
      <c r="J217" s="9">
        <f t="shared" si="9"/>
        <v>32280</v>
      </c>
    </row>
    <row r="218" spans="1:10" ht="30" customHeight="1" x14ac:dyDescent="0.25">
      <c r="A218" s="124"/>
      <c r="B218" s="6" t="s">
        <v>1240</v>
      </c>
      <c r="C218" s="44" t="s">
        <v>878</v>
      </c>
      <c r="D218" s="44" t="s">
        <v>879</v>
      </c>
      <c r="E218" s="44" t="s">
        <v>273</v>
      </c>
      <c r="F218" s="44" t="s">
        <v>13</v>
      </c>
      <c r="G218" s="15" t="s">
        <v>1243</v>
      </c>
      <c r="H218" s="7">
        <f>CEILING(576*USD,10)</f>
        <v>37240</v>
      </c>
      <c r="I218" s="8">
        <v>0.2</v>
      </c>
      <c r="J218" s="9">
        <f t="shared" si="9"/>
        <v>29800</v>
      </c>
    </row>
    <row r="219" spans="1:10" ht="30" customHeight="1" x14ac:dyDescent="0.25">
      <c r="A219" s="124"/>
      <c r="B219" s="6" t="s">
        <v>1241</v>
      </c>
      <c r="C219" s="44" t="s">
        <v>878</v>
      </c>
      <c r="D219" s="44" t="s">
        <v>879</v>
      </c>
      <c r="E219" s="44" t="s">
        <v>273</v>
      </c>
      <c r="F219" s="44" t="s">
        <v>13</v>
      </c>
      <c r="G219" s="15" t="s">
        <v>1244</v>
      </c>
      <c r="H219" s="7">
        <f>CEILING(597*USD,10)</f>
        <v>38600</v>
      </c>
      <c r="I219" s="8">
        <v>0.2</v>
      </c>
      <c r="J219" s="9">
        <f t="shared" si="9"/>
        <v>30880</v>
      </c>
    </row>
    <row r="220" spans="1:10" ht="30" customHeight="1" x14ac:dyDescent="0.25">
      <c r="A220" s="124"/>
      <c r="B220" s="6" t="s">
        <v>1242</v>
      </c>
      <c r="C220" s="44" t="s">
        <v>878</v>
      </c>
      <c r="D220" s="44" t="s">
        <v>879</v>
      </c>
      <c r="E220" s="44" t="s">
        <v>273</v>
      </c>
      <c r="F220" s="44" t="s">
        <v>13</v>
      </c>
      <c r="G220" s="15" t="s">
        <v>1245</v>
      </c>
      <c r="H220" s="7">
        <f>CEILING(645*USD,10)</f>
        <v>41700</v>
      </c>
      <c r="I220" s="8">
        <v>0.2</v>
      </c>
      <c r="J220" s="9">
        <f t="shared" si="9"/>
        <v>33360</v>
      </c>
    </row>
    <row r="221" spans="1:10" ht="20.100000000000001" customHeight="1" x14ac:dyDescent="0.25">
      <c r="A221" s="131"/>
      <c r="B221" s="131"/>
      <c r="C221" s="131"/>
      <c r="D221" s="131"/>
      <c r="E221" s="131"/>
      <c r="F221" s="131"/>
      <c r="G221" s="131"/>
      <c r="H221" s="131"/>
      <c r="I221" s="131"/>
      <c r="J221" s="131"/>
    </row>
    <row r="222" spans="1:10" ht="30" customHeight="1" x14ac:dyDescent="0.25">
      <c r="A222" s="118" t="s">
        <v>1246</v>
      </c>
      <c r="B222" s="118"/>
      <c r="C222" s="118"/>
      <c r="D222" s="118"/>
      <c r="E222" s="118"/>
      <c r="F222" s="118"/>
      <c r="G222" s="118"/>
      <c r="H222" s="118"/>
      <c r="I222" s="118"/>
      <c r="J222" s="118"/>
    </row>
    <row r="223" spans="1:10" ht="30" customHeight="1" x14ac:dyDescent="0.25">
      <c r="A223" s="44"/>
      <c r="B223" s="39" t="s">
        <v>2</v>
      </c>
      <c r="C223" s="4" t="s">
        <v>48</v>
      </c>
      <c r="D223" s="4" t="s">
        <v>49</v>
      </c>
      <c r="E223" s="39" t="s">
        <v>9</v>
      </c>
      <c r="F223" s="39" t="s">
        <v>10</v>
      </c>
      <c r="G223" s="4" t="s">
        <v>11</v>
      </c>
      <c r="H223" s="4" t="s">
        <v>17</v>
      </c>
      <c r="I223" s="4" t="s">
        <v>12</v>
      </c>
      <c r="J223" s="4" t="s">
        <v>18</v>
      </c>
    </row>
    <row r="224" spans="1:10" ht="30" customHeight="1" x14ac:dyDescent="0.25">
      <c r="A224" s="124"/>
      <c r="B224" s="6" t="s">
        <v>812</v>
      </c>
      <c r="C224" s="44" t="s">
        <v>264</v>
      </c>
      <c r="D224" s="44" t="s">
        <v>268</v>
      </c>
      <c r="E224" s="44" t="s">
        <v>273</v>
      </c>
      <c r="F224" s="44" t="s">
        <v>13</v>
      </c>
      <c r="G224" s="15" t="s">
        <v>813</v>
      </c>
      <c r="H224" s="25">
        <f>CEILING(305*USD,10)</f>
        <v>19720</v>
      </c>
      <c r="I224" s="8">
        <v>0.2</v>
      </c>
      <c r="J224" s="9">
        <f>CEILING(H224*0.8,10)</f>
        <v>15780</v>
      </c>
    </row>
    <row r="225" spans="1:10" ht="30" customHeight="1" x14ac:dyDescent="0.25">
      <c r="A225" s="124"/>
      <c r="B225" s="26" t="s">
        <v>809</v>
      </c>
      <c r="C225" s="44" t="s">
        <v>798</v>
      </c>
      <c r="D225" s="44" t="s">
        <v>799</v>
      </c>
      <c r="E225" s="44" t="s">
        <v>273</v>
      </c>
      <c r="F225" s="44" t="s">
        <v>13</v>
      </c>
      <c r="G225" s="15" t="s">
        <v>813</v>
      </c>
      <c r="H225" s="25">
        <f>CEILING(305*USD,10)</f>
        <v>19720</v>
      </c>
      <c r="I225" s="8">
        <v>0.2</v>
      </c>
      <c r="J225" s="9">
        <f>CEILING(H225*0.8,10)</f>
        <v>15780</v>
      </c>
    </row>
    <row r="226" spans="1:10" ht="30" customHeight="1" x14ac:dyDescent="0.25">
      <c r="A226" s="124"/>
      <c r="B226" s="26" t="s">
        <v>810</v>
      </c>
      <c r="C226" s="44" t="s">
        <v>800</v>
      </c>
      <c r="D226" s="44" t="s">
        <v>801</v>
      </c>
      <c r="E226" s="44" t="s">
        <v>273</v>
      </c>
      <c r="F226" s="44" t="s">
        <v>13</v>
      </c>
      <c r="G226" s="15" t="s">
        <v>813</v>
      </c>
      <c r="H226" s="25">
        <f>CEILING(305*USD,10)</f>
        <v>19720</v>
      </c>
      <c r="I226" s="8">
        <v>0.2</v>
      </c>
      <c r="J226" s="9">
        <f>CEILING(H226*0.8,10)</f>
        <v>15780</v>
      </c>
    </row>
    <row r="227" spans="1:10" ht="30" customHeight="1" x14ac:dyDescent="0.25">
      <c r="A227" s="124"/>
      <c r="B227" s="26" t="s">
        <v>811</v>
      </c>
      <c r="C227" s="44" t="s">
        <v>807</v>
      </c>
      <c r="D227" s="44" t="s">
        <v>803</v>
      </c>
      <c r="E227" s="44" t="s">
        <v>273</v>
      </c>
      <c r="F227" s="44" t="s">
        <v>13</v>
      </c>
      <c r="G227" s="15" t="s">
        <v>813</v>
      </c>
      <c r="H227" s="25">
        <f>CEILING(305*USD,10)</f>
        <v>19720</v>
      </c>
      <c r="I227" s="8">
        <v>0.2</v>
      </c>
      <c r="J227" s="9">
        <f>CEILING(H227*0.8,10)</f>
        <v>15780</v>
      </c>
    </row>
    <row r="228" spans="1:10" ht="20.100000000000001" customHeight="1" x14ac:dyDescent="0.25">
      <c r="A228" s="131"/>
      <c r="B228" s="131"/>
      <c r="C228" s="131"/>
      <c r="D228" s="131"/>
      <c r="E228" s="131"/>
      <c r="F228" s="131"/>
      <c r="G228" s="131"/>
      <c r="H228" s="131"/>
      <c r="I228" s="131"/>
      <c r="J228" s="131"/>
    </row>
    <row r="229" spans="1:10" ht="30" customHeight="1" x14ac:dyDescent="0.25">
      <c r="A229" s="118" t="s">
        <v>1248</v>
      </c>
      <c r="B229" s="118"/>
      <c r="C229" s="118"/>
      <c r="D229" s="118"/>
      <c r="E229" s="118"/>
      <c r="F229" s="118"/>
      <c r="G229" s="118"/>
      <c r="H229" s="118"/>
      <c r="I229" s="118"/>
      <c r="J229" s="118"/>
    </row>
    <row r="230" spans="1:10" ht="30" customHeight="1" x14ac:dyDescent="0.25">
      <c r="A230" s="44"/>
      <c r="B230" s="39" t="s">
        <v>2</v>
      </c>
      <c r="C230" s="4" t="s">
        <v>48</v>
      </c>
      <c r="D230" s="4" t="s">
        <v>49</v>
      </c>
      <c r="E230" s="39" t="s">
        <v>9</v>
      </c>
      <c r="F230" s="39" t="s">
        <v>10</v>
      </c>
      <c r="G230" s="4" t="s">
        <v>11</v>
      </c>
      <c r="H230" s="4" t="s">
        <v>17</v>
      </c>
      <c r="I230" s="4" t="s">
        <v>12</v>
      </c>
      <c r="J230" s="4" t="s">
        <v>18</v>
      </c>
    </row>
    <row r="231" spans="1:10" ht="36.950000000000003" customHeight="1" x14ac:dyDescent="0.25">
      <c r="A231" s="124"/>
      <c r="B231" s="27" t="s">
        <v>1875</v>
      </c>
      <c r="C231" s="44" t="s">
        <v>263</v>
      </c>
      <c r="D231" s="44" t="s">
        <v>266</v>
      </c>
      <c r="E231" s="44" t="s">
        <v>273</v>
      </c>
      <c r="F231" s="44" t="s">
        <v>13</v>
      </c>
      <c r="G231" s="15" t="s">
        <v>814</v>
      </c>
      <c r="H231" s="7">
        <f>CEILING(128*USD,10)</f>
        <v>8280</v>
      </c>
      <c r="I231" s="8">
        <v>0.2</v>
      </c>
      <c r="J231" s="9">
        <f t="shared" ref="J231:J236" si="10">CEILING(H231*0.8,10)</f>
        <v>6630</v>
      </c>
    </row>
    <row r="232" spans="1:10" ht="36.950000000000003" customHeight="1" x14ac:dyDescent="0.25">
      <c r="A232" s="124"/>
      <c r="B232" s="27" t="s">
        <v>1876</v>
      </c>
      <c r="C232" s="44" t="s">
        <v>263</v>
      </c>
      <c r="D232" s="44" t="s">
        <v>266</v>
      </c>
      <c r="E232" s="44" t="s">
        <v>273</v>
      </c>
      <c r="F232" s="44" t="s">
        <v>13</v>
      </c>
      <c r="G232" s="15" t="s">
        <v>814</v>
      </c>
      <c r="H232" s="7">
        <f>CEILING(142*USD,10)</f>
        <v>9180</v>
      </c>
      <c r="I232" s="8">
        <v>0.2</v>
      </c>
      <c r="J232" s="9">
        <f t="shared" si="10"/>
        <v>7350</v>
      </c>
    </row>
    <row r="233" spans="1:10" ht="36.950000000000003" customHeight="1" x14ac:dyDescent="0.25">
      <c r="A233" s="124"/>
      <c r="B233" s="27" t="s">
        <v>1877</v>
      </c>
      <c r="C233" s="44" t="s">
        <v>262</v>
      </c>
      <c r="D233" s="44" t="s">
        <v>267</v>
      </c>
      <c r="E233" s="44" t="s">
        <v>273</v>
      </c>
      <c r="F233" s="44" t="s">
        <v>13</v>
      </c>
      <c r="G233" s="15" t="s">
        <v>814</v>
      </c>
      <c r="H233" s="7">
        <f>CEILING(128*USD,10)</f>
        <v>8280</v>
      </c>
      <c r="I233" s="8">
        <v>0.2</v>
      </c>
      <c r="J233" s="9">
        <f t="shared" si="10"/>
        <v>6630</v>
      </c>
    </row>
    <row r="234" spans="1:10" ht="36.950000000000003" customHeight="1" x14ac:dyDescent="0.25">
      <c r="A234" s="124"/>
      <c r="B234" s="27" t="s">
        <v>1878</v>
      </c>
      <c r="C234" s="44" t="s">
        <v>262</v>
      </c>
      <c r="D234" s="44" t="s">
        <v>267</v>
      </c>
      <c r="E234" s="44" t="s">
        <v>273</v>
      </c>
      <c r="F234" s="44" t="s">
        <v>13</v>
      </c>
      <c r="G234" s="15" t="s">
        <v>814</v>
      </c>
      <c r="H234" s="7">
        <f>CEILING(142*USD,10)</f>
        <v>9180</v>
      </c>
      <c r="I234" s="8">
        <v>0.2</v>
      </c>
      <c r="J234" s="9">
        <f t="shared" si="10"/>
        <v>7350</v>
      </c>
    </row>
    <row r="235" spans="1:10" ht="36.950000000000003" customHeight="1" x14ac:dyDescent="0.25">
      <c r="A235" s="124"/>
      <c r="B235" s="27" t="s">
        <v>1879</v>
      </c>
      <c r="C235" s="44" t="s">
        <v>264</v>
      </c>
      <c r="D235" s="44" t="s">
        <v>268</v>
      </c>
      <c r="E235" s="44" t="s">
        <v>273</v>
      </c>
      <c r="F235" s="44" t="s">
        <v>13</v>
      </c>
      <c r="G235" s="15" t="s">
        <v>814</v>
      </c>
      <c r="H235" s="7">
        <f>CEILING(128*USD,10)</f>
        <v>8280</v>
      </c>
      <c r="I235" s="8">
        <v>0.2</v>
      </c>
      <c r="J235" s="9">
        <f t="shared" si="10"/>
        <v>6630</v>
      </c>
    </row>
    <row r="236" spans="1:10" ht="36.950000000000003" customHeight="1" x14ac:dyDescent="0.25">
      <c r="A236" s="124"/>
      <c r="B236" s="27" t="s">
        <v>1880</v>
      </c>
      <c r="C236" s="44" t="s">
        <v>264</v>
      </c>
      <c r="D236" s="44" t="s">
        <v>268</v>
      </c>
      <c r="E236" s="44" t="s">
        <v>273</v>
      </c>
      <c r="F236" s="44" t="s">
        <v>13</v>
      </c>
      <c r="G236" s="15" t="s">
        <v>814</v>
      </c>
      <c r="H236" s="7">
        <f>CEILING(142*USD,10)</f>
        <v>9180</v>
      </c>
      <c r="I236" s="8">
        <v>0.2</v>
      </c>
      <c r="J236" s="9">
        <f t="shared" si="10"/>
        <v>7350</v>
      </c>
    </row>
    <row r="237" spans="1:10" ht="20.100000000000001" customHeight="1" x14ac:dyDescent="0.25">
      <c r="A237" s="131"/>
      <c r="B237" s="131"/>
      <c r="C237" s="131"/>
      <c r="D237" s="131"/>
      <c r="E237" s="131"/>
      <c r="F237" s="131"/>
      <c r="G237" s="131"/>
      <c r="H237" s="131"/>
      <c r="I237" s="131"/>
      <c r="J237" s="131"/>
    </row>
    <row r="238" spans="1:10" ht="30" customHeight="1" x14ac:dyDescent="0.25">
      <c r="A238" s="118" t="s">
        <v>1249</v>
      </c>
      <c r="B238" s="118"/>
      <c r="C238" s="118"/>
      <c r="D238" s="118"/>
      <c r="E238" s="118"/>
      <c r="F238" s="118"/>
      <c r="G238" s="118"/>
      <c r="H238" s="118"/>
      <c r="I238" s="118"/>
      <c r="J238" s="118"/>
    </row>
    <row r="239" spans="1:10" ht="30" customHeight="1" x14ac:dyDescent="0.25">
      <c r="A239" s="44"/>
      <c r="B239" s="39" t="s">
        <v>2</v>
      </c>
      <c r="C239" s="4" t="s">
        <v>48</v>
      </c>
      <c r="D239" s="4" t="s">
        <v>49</v>
      </c>
      <c r="E239" s="39" t="s">
        <v>9</v>
      </c>
      <c r="F239" s="39" t="s">
        <v>10</v>
      </c>
      <c r="G239" s="4" t="s">
        <v>11</v>
      </c>
      <c r="H239" s="4" t="s">
        <v>17</v>
      </c>
      <c r="I239" s="4" t="s">
        <v>12</v>
      </c>
      <c r="J239" s="4" t="s">
        <v>18</v>
      </c>
    </row>
    <row r="240" spans="1:10" ht="39.950000000000003" customHeight="1" x14ac:dyDescent="0.25">
      <c r="A240" s="124"/>
      <c r="B240" s="27" t="s">
        <v>932</v>
      </c>
      <c r="C240" s="44" t="s">
        <v>263</v>
      </c>
      <c r="D240" s="44" t="s">
        <v>266</v>
      </c>
      <c r="E240" s="44" t="s">
        <v>273</v>
      </c>
      <c r="F240" s="44" t="s">
        <v>13</v>
      </c>
      <c r="G240" s="15" t="s">
        <v>938</v>
      </c>
      <c r="H240" s="7">
        <f>CEILING(153*USD,10)</f>
        <v>9890</v>
      </c>
      <c r="I240" s="8">
        <v>0.2</v>
      </c>
      <c r="J240" s="9">
        <f t="shared" ref="J240:J245" si="11">CEILING(H240*0.8,10)</f>
        <v>7920</v>
      </c>
    </row>
    <row r="241" spans="1:10" ht="39.950000000000003" customHeight="1" x14ac:dyDescent="0.25">
      <c r="A241" s="124"/>
      <c r="B241" s="27" t="s">
        <v>933</v>
      </c>
      <c r="C241" s="44" t="s">
        <v>263</v>
      </c>
      <c r="D241" s="44" t="s">
        <v>266</v>
      </c>
      <c r="E241" s="44" t="s">
        <v>273</v>
      </c>
      <c r="F241" s="44" t="s">
        <v>13</v>
      </c>
      <c r="G241" s="15" t="s">
        <v>938</v>
      </c>
      <c r="H241" s="7">
        <f>CEILING(168*USD,10)</f>
        <v>10860</v>
      </c>
      <c r="I241" s="8">
        <v>0.2</v>
      </c>
      <c r="J241" s="9">
        <f t="shared" si="11"/>
        <v>8690</v>
      </c>
    </row>
    <row r="242" spans="1:10" ht="39.950000000000003" customHeight="1" x14ac:dyDescent="0.25">
      <c r="A242" s="124"/>
      <c r="B242" s="27" t="s">
        <v>934</v>
      </c>
      <c r="C242" s="44" t="s">
        <v>262</v>
      </c>
      <c r="D242" s="44" t="s">
        <v>267</v>
      </c>
      <c r="E242" s="44" t="s">
        <v>273</v>
      </c>
      <c r="F242" s="44" t="s">
        <v>13</v>
      </c>
      <c r="G242" s="15" t="s">
        <v>938</v>
      </c>
      <c r="H242" s="7">
        <f>CEILING(153*USD,10)</f>
        <v>9890</v>
      </c>
      <c r="I242" s="8">
        <v>0.2</v>
      </c>
      <c r="J242" s="9">
        <f t="shared" si="11"/>
        <v>7920</v>
      </c>
    </row>
    <row r="243" spans="1:10" ht="39.950000000000003" customHeight="1" x14ac:dyDescent="0.25">
      <c r="A243" s="124"/>
      <c r="B243" s="27" t="s">
        <v>935</v>
      </c>
      <c r="C243" s="44" t="s">
        <v>262</v>
      </c>
      <c r="D243" s="44" t="s">
        <v>267</v>
      </c>
      <c r="E243" s="44" t="s">
        <v>273</v>
      </c>
      <c r="F243" s="44" t="s">
        <v>13</v>
      </c>
      <c r="G243" s="15" t="s">
        <v>938</v>
      </c>
      <c r="H243" s="7">
        <f>CEILING(168*USD,10)</f>
        <v>10860</v>
      </c>
      <c r="I243" s="8">
        <v>0.2</v>
      </c>
      <c r="J243" s="9">
        <f t="shared" si="11"/>
        <v>8690</v>
      </c>
    </row>
    <row r="244" spans="1:10" ht="39.950000000000003" customHeight="1" x14ac:dyDescent="0.25">
      <c r="A244" s="124"/>
      <c r="B244" s="27" t="s">
        <v>936</v>
      </c>
      <c r="C244" s="44" t="s">
        <v>264</v>
      </c>
      <c r="D244" s="44" t="s">
        <v>268</v>
      </c>
      <c r="E244" s="44" t="s">
        <v>273</v>
      </c>
      <c r="F244" s="44" t="s">
        <v>13</v>
      </c>
      <c r="G244" s="15" t="s">
        <v>938</v>
      </c>
      <c r="H244" s="7">
        <f>CEILING(153*USD,10)</f>
        <v>9890</v>
      </c>
      <c r="I244" s="8">
        <v>0.2</v>
      </c>
      <c r="J244" s="9">
        <f t="shared" si="11"/>
        <v>7920</v>
      </c>
    </row>
    <row r="245" spans="1:10" ht="39.950000000000003" customHeight="1" x14ac:dyDescent="0.25">
      <c r="A245" s="124"/>
      <c r="B245" s="27" t="s">
        <v>937</v>
      </c>
      <c r="C245" s="44" t="s">
        <v>264</v>
      </c>
      <c r="D245" s="44" t="s">
        <v>268</v>
      </c>
      <c r="E245" s="44" t="s">
        <v>273</v>
      </c>
      <c r="F245" s="44" t="s">
        <v>13</v>
      </c>
      <c r="G245" s="15" t="s">
        <v>938</v>
      </c>
      <c r="H245" s="7">
        <f>CEILING(168*USD,10)</f>
        <v>10860</v>
      </c>
      <c r="I245" s="8">
        <v>0.2</v>
      </c>
      <c r="J245" s="9">
        <f t="shared" si="11"/>
        <v>8690</v>
      </c>
    </row>
    <row r="246" spans="1:10" ht="20.100000000000001" customHeight="1" x14ac:dyDescent="0.25">
      <c r="A246" s="131"/>
      <c r="B246" s="131"/>
      <c r="C246" s="131"/>
      <c r="D246" s="131"/>
      <c r="E246" s="131"/>
      <c r="F246" s="131"/>
      <c r="G246" s="131"/>
      <c r="H246" s="131"/>
      <c r="I246" s="131"/>
      <c r="J246" s="131"/>
    </row>
    <row r="247" spans="1:10" ht="30" customHeight="1" x14ac:dyDescent="0.25">
      <c r="A247" s="118" t="s">
        <v>1250</v>
      </c>
      <c r="B247" s="118"/>
      <c r="C247" s="118"/>
      <c r="D247" s="118"/>
      <c r="E247" s="118"/>
      <c r="F247" s="118"/>
      <c r="G247" s="118"/>
      <c r="H247" s="118"/>
      <c r="I247" s="118"/>
      <c r="J247" s="118"/>
    </row>
    <row r="248" spans="1:10" ht="30" customHeight="1" x14ac:dyDescent="0.25">
      <c r="A248" s="44"/>
      <c r="B248" s="39" t="s">
        <v>2</v>
      </c>
      <c r="C248" s="4" t="s">
        <v>48</v>
      </c>
      <c r="D248" s="4" t="s">
        <v>49</v>
      </c>
      <c r="E248" s="39" t="s">
        <v>9</v>
      </c>
      <c r="F248" s="39" t="s">
        <v>10</v>
      </c>
      <c r="G248" s="4" t="s">
        <v>11</v>
      </c>
      <c r="H248" s="4" t="s">
        <v>17</v>
      </c>
      <c r="I248" s="4" t="s">
        <v>12</v>
      </c>
      <c r="J248" s="4" t="s">
        <v>18</v>
      </c>
    </row>
    <row r="249" spans="1:10" ht="24.95" customHeight="1" x14ac:dyDescent="0.25">
      <c r="A249" s="124"/>
      <c r="B249" s="27" t="s">
        <v>940</v>
      </c>
      <c r="C249" s="10" t="s">
        <v>263</v>
      </c>
      <c r="D249" s="44" t="s">
        <v>266</v>
      </c>
      <c r="E249" s="44" t="s">
        <v>273</v>
      </c>
      <c r="F249" s="44" t="s">
        <v>13</v>
      </c>
      <c r="G249" s="15" t="s">
        <v>950</v>
      </c>
      <c r="H249" s="7">
        <f>CEILING(220*USD,10)</f>
        <v>14230</v>
      </c>
      <c r="I249" s="8">
        <v>0.2</v>
      </c>
      <c r="J249" s="9">
        <f>CEILING(H249*0.8,10)</f>
        <v>11390</v>
      </c>
    </row>
    <row r="250" spans="1:10" ht="24.95" customHeight="1" x14ac:dyDescent="0.25">
      <c r="A250" s="124"/>
      <c r="B250" s="27" t="s">
        <v>941</v>
      </c>
      <c r="C250" s="10" t="s">
        <v>262</v>
      </c>
      <c r="D250" s="44" t="s">
        <v>267</v>
      </c>
      <c r="E250" s="44" t="s">
        <v>273</v>
      </c>
      <c r="F250" s="44" t="s">
        <v>13</v>
      </c>
      <c r="G250" s="15" t="s">
        <v>950</v>
      </c>
      <c r="H250" s="7">
        <f>CEILING(220*USD,10)</f>
        <v>14230</v>
      </c>
      <c r="I250" s="8">
        <v>0.2</v>
      </c>
      <c r="J250" s="9">
        <f t="shared" ref="J250:J258" si="12">CEILING(H250*0.8,10)</f>
        <v>11390</v>
      </c>
    </row>
    <row r="251" spans="1:10" ht="24.95" customHeight="1" x14ac:dyDescent="0.25">
      <c r="A251" s="124"/>
      <c r="B251" s="27" t="s">
        <v>942</v>
      </c>
      <c r="C251" s="10" t="s">
        <v>262</v>
      </c>
      <c r="D251" s="44" t="s">
        <v>267</v>
      </c>
      <c r="E251" s="44" t="s">
        <v>273</v>
      </c>
      <c r="F251" s="44" t="s">
        <v>13</v>
      </c>
      <c r="G251" s="15" t="s">
        <v>951</v>
      </c>
      <c r="H251" s="7">
        <f>CEILING(229*USD,10)</f>
        <v>14810</v>
      </c>
      <c r="I251" s="8">
        <v>0.2</v>
      </c>
      <c r="J251" s="9">
        <f t="shared" si="12"/>
        <v>11850</v>
      </c>
    </row>
    <row r="252" spans="1:10" ht="24.95" customHeight="1" x14ac:dyDescent="0.25">
      <c r="A252" s="124"/>
      <c r="B252" s="27" t="s">
        <v>943</v>
      </c>
      <c r="C252" s="10" t="s">
        <v>264</v>
      </c>
      <c r="D252" s="44" t="s">
        <v>268</v>
      </c>
      <c r="E252" s="44" t="s">
        <v>273</v>
      </c>
      <c r="F252" s="44" t="s">
        <v>13</v>
      </c>
      <c r="G252" s="15" t="s">
        <v>939</v>
      </c>
      <c r="H252" s="7">
        <f>CEILING(220*USD,10)</f>
        <v>14230</v>
      </c>
      <c r="I252" s="8">
        <v>0.2</v>
      </c>
      <c r="J252" s="9">
        <f t="shared" si="12"/>
        <v>11390</v>
      </c>
    </row>
    <row r="253" spans="1:10" ht="24.95" customHeight="1" x14ac:dyDescent="0.25">
      <c r="A253" s="124"/>
      <c r="B253" s="27" t="s">
        <v>944</v>
      </c>
      <c r="C253" s="10" t="s">
        <v>264</v>
      </c>
      <c r="D253" s="44" t="s">
        <v>268</v>
      </c>
      <c r="E253" s="44" t="s">
        <v>273</v>
      </c>
      <c r="F253" s="44" t="s">
        <v>13</v>
      </c>
      <c r="G253" s="15" t="s">
        <v>938</v>
      </c>
      <c r="H253" s="7">
        <f>CEILING(229*USD,10)</f>
        <v>14810</v>
      </c>
      <c r="I253" s="8">
        <v>0.2</v>
      </c>
      <c r="J253" s="9">
        <f t="shared" si="12"/>
        <v>11850</v>
      </c>
    </row>
    <row r="254" spans="1:10" ht="24.95" customHeight="1" x14ac:dyDescent="0.25">
      <c r="A254" s="124"/>
      <c r="B254" s="27" t="s">
        <v>945</v>
      </c>
      <c r="C254" s="10" t="s">
        <v>263</v>
      </c>
      <c r="D254" s="44" t="s">
        <v>266</v>
      </c>
      <c r="E254" s="44" t="s">
        <v>273</v>
      </c>
      <c r="F254" s="44" t="s">
        <v>13</v>
      </c>
      <c r="G254" s="15" t="s">
        <v>938</v>
      </c>
      <c r="H254" s="7">
        <f>CEILING(213*USD,10)</f>
        <v>13770</v>
      </c>
      <c r="I254" s="8">
        <v>0.2</v>
      </c>
      <c r="J254" s="9">
        <f t="shared" si="12"/>
        <v>11020</v>
      </c>
    </row>
    <row r="255" spans="1:10" ht="24.95" customHeight="1" x14ac:dyDescent="0.25">
      <c r="A255" s="124"/>
      <c r="B255" s="27" t="s">
        <v>946</v>
      </c>
      <c r="C255" s="10" t="s">
        <v>262</v>
      </c>
      <c r="D255" s="44" t="s">
        <v>267</v>
      </c>
      <c r="E255" s="44" t="s">
        <v>273</v>
      </c>
      <c r="F255" s="44" t="s">
        <v>13</v>
      </c>
      <c r="G255" s="15" t="s">
        <v>938</v>
      </c>
      <c r="H255" s="7">
        <f>CEILING(213*USD,10)</f>
        <v>13770</v>
      </c>
      <c r="I255" s="8">
        <v>0.2</v>
      </c>
      <c r="J255" s="9">
        <f t="shared" si="12"/>
        <v>11020</v>
      </c>
    </row>
    <row r="256" spans="1:10" ht="24.95" customHeight="1" x14ac:dyDescent="0.25">
      <c r="A256" s="124"/>
      <c r="B256" s="27" t="s">
        <v>947</v>
      </c>
      <c r="C256" s="10" t="s">
        <v>262</v>
      </c>
      <c r="D256" s="44" t="s">
        <v>267</v>
      </c>
      <c r="E256" s="44" t="s">
        <v>273</v>
      </c>
      <c r="F256" s="44" t="s">
        <v>13</v>
      </c>
      <c r="G256" s="15" t="s">
        <v>938</v>
      </c>
      <c r="H256" s="7">
        <f>CEILING(222*USD,10)</f>
        <v>14360</v>
      </c>
      <c r="I256" s="8">
        <v>0.2</v>
      </c>
      <c r="J256" s="9">
        <f t="shared" si="12"/>
        <v>11490</v>
      </c>
    </row>
    <row r="257" spans="1:10" ht="24.95" customHeight="1" x14ac:dyDescent="0.25">
      <c r="A257" s="124"/>
      <c r="B257" s="27" t="s">
        <v>948</v>
      </c>
      <c r="C257" s="10" t="s">
        <v>264</v>
      </c>
      <c r="D257" s="44" t="s">
        <v>268</v>
      </c>
      <c r="E257" s="44" t="s">
        <v>273</v>
      </c>
      <c r="F257" s="44" t="s">
        <v>13</v>
      </c>
      <c r="G257" s="15" t="s">
        <v>939</v>
      </c>
      <c r="H257" s="7">
        <f>CEILING(213*USD,10)</f>
        <v>13770</v>
      </c>
      <c r="I257" s="8">
        <v>0.2</v>
      </c>
      <c r="J257" s="9">
        <f t="shared" si="12"/>
        <v>11020</v>
      </c>
    </row>
    <row r="258" spans="1:10" ht="24.95" customHeight="1" x14ac:dyDescent="0.25">
      <c r="A258" s="124"/>
      <c r="B258" s="27" t="s">
        <v>949</v>
      </c>
      <c r="C258" s="10" t="s">
        <v>264</v>
      </c>
      <c r="D258" s="44" t="s">
        <v>268</v>
      </c>
      <c r="E258" s="44" t="s">
        <v>273</v>
      </c>
      <c r="F258" s="44" t="s">
        <v>13</v>
      </c>
      <c r="G258" s="15" t="s">
        <v>938</v>
      </c>
      <c r="H258" s="7">
        <f>CEILING(222*USD,10)</f>
        <v>14360</v>
      </c>
      <c r="I258" s="8">
        <v>0.2</v>
      </c>
      <c r="J258" s="9">
        <f t="shared" si="12"/>
        <v>11490</v>
      </c>
    </row>
    <row r="259" spans="1:10" ht="20.100000000000001" customHeight="1" x14ac:dyDescent="0.25">
      <c r="A259" s="131"/>
      <c r="B259" s="131"/>
      <c r="C259" s="131"/>
      <c r="D259" s="131"/>
      <c r="E259" s="131"/>
      <c r="F259" s="131"/>
      <c r="G259" s="131"/>
      <c r="H259" s="131"/>
      <c r="I259" s="131"/>
      <c r="J259" s="131"/>
    </row>
    <row r="260" spans="1:10" ht="37.5" customHeight="1" x14ac:dyDescent="0.25">
      <c r="A260" s="117" t="s">
        <v>1285</v>
      </c>
      <c r="B260" s="118"/>
      <c r="C260" s="118"/>
      <c r="D260" s="118"/>
      <c r="E260" s="118"/>
      <c r="F260" s="118"/>
      <c r="G260" s="118"/>
      <c r="H260" s="118"/>
      <c r="I260" s="118"/>
      <c r="J260" s="118"/>
    </row>
    <row r="261" spans="1:10" ht="30" customHeight="1" x14ac:dyDescent="0.25">
      <c r="A261" s="44"/>
      <c r="B261" s="39" t="s">
        <v>2</v>
      </c>
      <c r="C261" s="4" t="s">
        <v>48</v>
      </c>
      <c r="D261" s="4" t="s">
        <v>49</v>
      </c>
      <c r="E261" s="39" t="s">
        <v>9</v>
      </c>
      <c r="F261" s="39" t="s">
        <v>10</v>
      </c>
      <c r="G261" s="4" t="s">
        <v>11</v>
      </c>
      <c r="H261" s="4" t="s">
        <v>17</v>
      </c>
      <c r="I261" s="4" t="s">
        <v>12</v>
      </c>
      <c r="J261" s="4" t="s">
        <v>18</v>
      </c>
    </row>
    <row r="262" spans="1:10" ht="30" customHeight="1" x14ac:dyDescent="0.25">
      <c r="A262" s="124"/>
      <c r="B262" s="27" t="s">
        <v>1251</v>
      </c>
      <c r="C262" s="10" t="s">
        <v>262</v>
      </c>
      <c r="D262" s="44" t="s">
        <v>267</v>
      </c>
      <c r="E262" s="44" t="s">
        <v>273</v>
      </c>
      <c r="F262" s="44" t="s">
        <v>13</v>
      </c>
      <c r="G262" s="15" t="s">
        <v>1265</v>
      </c>
      <c r="H262" s="7">
        <f>CEILING(1385*USD,10)</f>
        <v>89530</v>
      </c>
      <c r="I262" s="8">
        <v>0.2</v>
      </c>
      <c r="J262" s="9">
        <f>CEILING(H262*0.8,10)</f>
        <v>71630</v>
      </c>
    </row>
    <row r="263" spans="1:10" ht="30" customHeight="1" x14ac:dyDescent="0.25">
      <c r="A263" s="124"/>
      <c r="B263" s="27" t="s">
        <v>1252</v>
      </c>
      <c r="C263" s="10" t="s">
        <v>263</v>
      </c>
      <c r="D263" s="44" t="s">
        <v>266</v>
      </c>
      <c r="E263" s="44" t="s">
        <v>273</v>
      </c>
      <c r="F263" s="44" t="s">
        <v>13</v>
      </c>
      <c r="G263" s="15" t="s">
        <v>1265</v>
      </c>
      <c r="H263" s="7">
        <f>CEILING(852*USD,10)</f>
        <v>55080</v>
      </c>
      <c r="I263" s="8">
        <v>0.2</v>
      </c>
      <c r="J263" s="9">
        <f t="shared" ref="J263:J272" si="13">CEILING(H263*0.8,10)</f>
        <v>44070</v>
      </c>
    </row>
    <row r="264" spans="1:10" ht="30" customHeight="1" x14ac:dyDescent="0.25">
      <c r="A264" s="124"/>
      <c r="B264" s="27" t="s">
        <v>1253</v>
      </c>
      <c r="C264" s="10" t="s">
        <v>262</v>
      </c>
      <c r="D264" s="44" t="s">
        <v>267</v>
      </c>
      <c r="E264" s="44" t="s">
        <v>273</v>
      </c>
      <c r="F264" s="44" t="s">
        <v>13</v>
      </c>
      <c r="G264" s="15" t="s">
        <v>1265</v>
      </c>
      <c r="H264" s="7">
        <f>CEILING(852*USD,10)</f>
        <v>55080</v>
      </c>
      <c r="I264" s="8">
        <v>0.2</v>
      </c>
      <c r="J264" s="9">
        <f t="shared" si="13"/>
        <v>44070</v>
      </c>
    </row>
    <row r="265" spans="1:10" ht="30" customHeight="1" x14ac:dyDescent="0.25">
      <c r="A265" s="124"/>
      <c r="B265" s="27" t="s">
        <v>1254</v>
      </c>
      <c r="C265" s="10" t="s">
        <v>264</v>
      </c>
      <c r="D265" s="44" t="s">
        <v>268</v>
      </c>
      <c r="E265" s="44" t="s">
        <v>273</v>
      </c>
      <c r="F265" s="44" t="s">
        <v>13</v>
      </c>
      <c r="G265" s="15" t="s">
        <v>1265</v>
      </c>
      <c r="H265" s="7">
        <f>CEILING(852*USD,10)</f>
        <v>55080</v>
      </c>
      <c r="I265" s="8">
        <v>0.2</v>
      </c>
      <c r="J265" s="9">
        <f t="shared" si="13"/>
        <v>44070</v>
      </c>
    </row>
    <row r="266" spans="1:10" ht="30" customHeight="1" x14ac:dyDescent="0.25">
      <c r="A266" s="124"/>
      <c r="B266" s="27" t="s">
        <v>1255</v>
      </c>
      <c r="C266" s="10" t="s">
        <v>263</v>
      </c>
      <c r="D266" s="44" t="s">
        <v>266</v>
      </c>
      <c r="E266" s="44" t="s">
        <v>273</v>
      </c>
      <c r="F266" s="44" t="s">
        <v>13</v>
      </c>
      <c r="G266" s="15" t="s">
        <v>1265</v>
      </c>
      <c r="H266" s="7">
        <f>CEILING(882*USD,10)</f>
        <v>57020</v>
      </c>
      <c r="I266" s="8">
        <v>0.2</v>
      </c>
      <c r="J266" s="9">
        <f t="shared" si="13"/>
        <v>45620</v>
      </c>
    </row>
    <row r="267" spans="1:10" ht="30" customHeight="1" x14ac:dyDescent="0.25">
      <c r="A267" s="124"/>
      <c r="B267" s="27" t="s">
        <v>1256</v>
      </c>
      <c r="C267" s="10" t="s">
        <v>262</v>
      </c>
      <c r="D267" s="44" t="s">
        <v>267</v>
      </c>
      <c r="E267" s="44" t="s">
        <v>273</v>
      </c>
      <c r="F267" s="44" t="s">
        <v>13</v>
      </c>
      <c r="G267" s="15" t="s">
        <v>1265</v>
      </c>
      <c r="H267" s="7">
        <f>CEILING(882*USD,10)</f>
        <v>57020</v>
      </c>
      <c r="I267" s="8">
        <v>0.2</v>
      </c>
      <c r="J267" s="9">
        <f t="shared" si="13"/>
        <v>45620</v>
      </c>
    </row>
    <row r="268" spans="1:10" ht="30" customHeight="1" x14ac:dyDescent="0.25">
      <c r="A268" s="124"/>
      <c r="B268" s="27" t="s">
        <v>1257</v>
      </c>
      <c r="C268" s="10" t="s">
        <v>264</v>
      </c>
      <c r="D268" s="44" t="s">
        <v>268</v>
      </c>
      <c r="E268" s="44" t="s">
        <v>273</v>
      </c>
      <c r="F268" s="44" t="s">
        <v>13</v>
      </c>
      <c r="G268" s="15" t="s">
        <v>1265</v>
      </c>
      <c r="H268" s="7">
        <f>CEILING(882*USD,10)</f>
        <v>57020</v>
      </c>
      <c r="I268" s="8">
        <v>0.2</v>
      </c>
      <c r="J268" s="9">
        <f t="shared" si="13"/>
        <v>45620</v>
      </c>
    </row>
    <row r="269" spans="1:10" ht="30" customHeight="1" x14ac:dyDescent="0.25">
      <c r="A269" s="124"/>
      <c r="B269" s="27" t="s">
        <v>1258</v>
      </c>
      <c r="C269" s="10" t="s">
        <v>262</v>
      </c>
      <c r="D269" s="44" t="s">
        <v>267</v>
      </c>
      <c r="E269" s="44" t="s">
        <v>273</v>
      </c>
      <c r="F269" s="44" t="s">
        <v>13</v>
      </c>
      <c r="G269" s="15" t="s">
        <v>1265</v>
      </c>
      <c r="H269" s="7">
        <f>CEILING(1477*USD,10)</f>
        <v>95480</v>
      </c>
      <c r="I269" s="8">
        <v>0.2</v>
      </c>
      <c r="J269" s="9">
        <f t="shared" si="13"/>
        <v>76390</v>
      </c>
    </row>
    <row r="270" spans="1:10" ht="30" customHeight="1" x14ac:dyDescent="0.25">
      <c r="A270" s="124"/>
      <c r="B270" s="27" t="s">
        <v>1259</v>
      </c>
      <c r="C270" s="10" t="s">
        <v>264</v>
      </c>
      <c r="D270" s="44" t="s">
        <v>268</v>
      </c>
      <c r="E270" s="44" t="s">
        <v>273</v>
      </c>
      <c r="F270" s="44" t="s">
        <v>13</v>
      </c>
      <c r="G270" s="15" t="s">
        <v>1265</v>
      </c>
      <c r="H270" s="7">
        <f>CEILING(1477*USD,10)</f>
        <v>95480</v>
      </c>
      <c r="I270" s="8">
        <v>0.2</v>
      </c>
      <c r="J270" s="9">
        <f t="shared" si="13"/>
        <v>76390</v>
      </c>
    </row>
    <row r="271" spans="1:10" ht="30" customHeight="1" x14ac:dyDescent="0.25">
      <c r="A271" s="124"/>
      <c r="B271" s="27" t="s">
        <v>1260</v>
      </c>
      <c r="C271" s="10" t="s">
        <v>262</v>
      </c>
      <c r="D271" s="44" t="s">
        <v>267</v>
      </c>
      <c r="E271" s="44" t="s">
        <v>273</v>
      </c>
      <c r="F271" s="44" t="s">
        <v>13</v>
      </c>
      <c r="G271" s="15" t="s">
        <v>1266</v>
      </c>
      <c r="H271" s="7">
        <f>CEILING(1521*USD,10)</f>
        <v>98320</v>
      </c>
      <c r="I271" s="8">
        <v>0.2</v>
      </c>
      <c r="J271" s="9">
        <f t="shared" si="13"/>
        <v>78660</v>
      </c>
    </row>
    <row r="272" spans="1:10" ht="30" customHeight="1" x14ac:dyDescent="0.25">
      <c r="A272" s="124"/>
      <c r="B272" s="27" t="s">
        <v>1261</v>
      </c>
      <c r="C272" s="10" t="s">
        <v>262</v>
      </c>
      <c r="D272" s="44" t="s">
        <v>267</v>
      </c>
      <c r="E272" s="44" t="s">
        <v>273</v>
      </c>
      <c r="F272" s="44" t="s">
        <v>13</v>
      </c>
      <c r="G272" s="15" t="s">
        <v>1267</v>
      </c>
      <c r="H272" s="7">
        <f>CEILING(1581*USD,10)</f>
        <v>102200</v>
      </c>
      <c r="I272" s="8">
        <v>0.2</v>
      </c>
      <c r="J272" s="9">
        <f t="shared" si="13"/>
        <v>81760</v>
      </c>
    </row>
    <row r="273" spans="1:10" ht="20.100000000000001" customHeight="1" x14ac:dyDescent="0.25">
      <c r="A273" s="139" t="s">
        <v>74</v>
      </c>
      <c r="B273" s="139"/>
      <c r="C273" s="139"/>
      <c r="D273" s="139"/>
      <c r="E273" s="139"/>
      <c r="F273" s="139"/>
      <c r="G273" s="139"/>
      <c r="H273" s="139"/>
      <c r="I273" s="139"/>
      <c r="J273" s="139"/>
    </row>
    <row r="274" spans="1:10" ht="20.100000000000001" customHeight="1" x14ac:dyDescent="0.25">
      <c r="A274" s="135" t="s">
        <v>1262</v>
      </c>
      <c r="B274" s="136"/>
      <c r="C274" s="136"/>
      <c r="D274" s="136"/>
      <c r="E274" s="136"/>
      <c r="F274" s="136"/>
      <c r="G274" s="137"/>
      <c r="H274" s="9">
        <f>CEILING(40*USD,10)</f>
        <v>2590</v>
      </c>
      <c r="I274" s="8">
        <v>0</v>
      </c>
      <c r="J274" s="9">
        <f>CEILING(H274*1,10)</f>
        <v>2590</v>
      </c>
    </row>
    <row r="275" spans="1:10" ht="20.100000000000001" customHeight="1" x14ac:dyDescent="0.25">
      <c r="A275" s="135" t="s">
        <v>1263</v>
      </c>
      <c r="B275" s="136"/>
      <c r="C275" s="136"/>
      <c r="D275" s="136"/>
      <c r="E275" s="136"/>
      <c r="F275" s="136"/>
      <c r="G275" s="137"/>
      <c r="H275" s="9">
        <f>CEILING(292*USD,10)</f>
        <v>18880</v>
      </c>
      <c r="I275" s="8">
        <v>0</v>
      </c>
      <c r="J275" s="9">
        <f>CEILING(H275*1,10)</f>
        <v>18880</v>
      </c>
    </row>
    <row r="276" spans="1:10" ht="20.100000000000001" customHeight="1" x14ac:dyDescent="0.25">
      <c r="A276" s="135" t="s">
        <v>1264</v>
      </c>
      <c r="B276" s="136"/>
      <c r="C276" s="136"/>
      <c r="D276" s="136"/>
      <c r="E276" s="136"/>
      <c r="F276" s="136"/>
      <c r="G276" s="137"/>
      <c r="H276" s="9">
        <f>CEILING(110*USD,10)</f>
        <v>7120</v>
      </c>
      <c r="I276" s="8">
        <v>0</v>
      </c>
      <c r="J276" s="9">
        <f>CEILING(H276*1,10)</f>
        <v>7120</v>
      </c>
    </row>
    <row r="277" spans="1:10" ht="20.100000000000001" customHeight="1" x14ac:dyDescent="0.25">
      <c r="A277" s="131"/>
      <c r="B277" s="131"/>
      <c r="C277" s="131"/>
      <c r="D277" s="131"/>
      <c r="E277" s="131"/>
      <c r="F277" s="131"/>
      <c r="G277" s="131"/>
      <c r="H277" s="131"/>
      <c r="I277" s="131"/>
      <c r="J277" s="131"/>
    </row>
    <row r="278" spans="1:10" ht="30" customHeight="1" x14ac:dyDescent="0.25">
      <c r="A278" s="118" t="s">
        <v>1271</v>
      </c>
      <c r="B278" s="118"/>
      <c r="C278" s="118"/>
      <c r="D278" s="118"/>
      <c r="E278" s="118"/>
      <c r="F278" s="118"/>
      <c r="G278" s="118"/>
      <c r="H278" s="118"/>
      <c r="I278" s="118"/>
      <c r="J278" s="118"/>
    </row>
    <row r="279" spans="1:10" ht="30" customHeight="1" x14ac:dyDescent="0.25">
      <c r="A279" s="44"/>
      <c r="B279" s="39" t="s">
        <v>2</v>
      </c>
      <c r="C279" s="4" t="s">
        <v>48</v>
      </c>
      <c r="D279" s="4" t="s">
        <v>49</v>
      </c>
      <c r="E279" s="39" t="s">
        <v>9</v>
      </c>
      <c r="F279" s="39" t="s">
        <v>10</v>
      </c>
      <c r="G279" s="4" t="s">
        <v>11</v>
      </c>
      <c r="H279" s="4" t="s">
        <v>17</v>
      </c>
      <c r="I279" s="4" t="s">
        <v>12</v>
      </c>
      <c r="J279" s="4" t="s">
        <v>18</v>
      </c>
    </row>
    <row r="280" spans="1:10" ht="26.1" customHeight="1" x14ac:dyDescent="0.25">
      <c r="A280" s="124"/>
      <c r="B280" s="27" t="s">
        <v>956</v>
      </c>
      <c r="C280" s="10" t="s">
        <v>263</v>
      </c>
      <c r="D280" s="44" t="s">
        <v>266</v>
      </c>
      <c r="E280" s="44" t="s">
        <v>273</v>
      </c>
      <c r="F280" s="44" t="s">
        <v>13</v>
      </c>
      <c r="G280" s="15" t="s">
        <v>957</v>
      </c>
      <c r="H280" s="7">
        <f>CEILING(933*USD,10)</f>
        <v>60310</v>
      </c>
      <c r="I280" s="8">
        <v>0.2</v>
      </c>
      <c r="J280" s="9">
        <f>CEILING(H280*0.8,10)</f>
        <v>48250</v>
      </c>
    </row>
    <row r="281" spans="1:10" ht="26.1" customHeight="1" x14ac:dyDescent="0.25">
      <c r="A281" s="124"/>
      <c r="B281" s="27" t="s">
        <v>952</v>
      </c>
      <c r="C281" s="10" t="s">
        <v>263</v>
      </c>
      <c r="D281" s="44" t="s">
        <v>266</v>
      </c>
      <c r="E281" s="44" t="s">
        <v>273</v>
      </c>
      <c r="F281" s="44" t="s">
        <v>13</v>
      </c>
      <c r="G281" s="15" t="s">
        <v>957</v>
      </c>
      <c r="H281" s="7">
        <f>CEILING(962*USD,10)</f>
        <v>62190</v>
      </c>
      <c r="I281" s="8">
        <v>0.2</v>
      </c>
      <c r="J281" s="9">
        <f t="shared" ref="J281:J288" si="14">CEILING(H281*0.8,10)</f>
        <v>49760</v>
      </c>
    </row>
    <row r="282" spans="1:10" ht="26.1" customHeight="1" x14ac:dyDescent="0.25">
      <c r="A282" s="124"/>
      <c r="B282" s="27" t="s">
        <v>953</v>
      </c>
      <c r="C282" s="10" t="s">
        <v>262</v>
      </c>
      <c r="D282" s="44" t="s">
        <v>267</v>
      </c>
      <c r="E282" s="44" t="s">
        <v>273</v>
      </c>
      <c r="F282" s="44" t="s">
        <v>13</v>
      </c>
      <c r="G282" s="15" t="s">
        <v>957</v>
      </c>
      <c r="H282" s="7">
        <f>CEILING(933*USD,10)</f>
        <v>60310</v>
      </c>
      <c r="I282" s="8">
        <v>0.2</v>
      </c>
      <c r="J282" s="9">
        <f t="shared" si="14"/>
        <v>48250</v>
      </c>
    </row>
    <row r="283" spans="1:10" ht="26.1" customHeight="1" x14ac:dyDescent="0.25">
      <c r="A283" s="124"/>
      <c r="B283" s="27" t="s">
        <v>1268</v>
      </c>
      <c r="C283" s="10" t="s">
        <v>262</v>
      </c>
      <c r="D283" s="44" t="s">
        <v>267</v>
      </c>
      <c r="E283" s="44" t="s">
        <v>273</v>
      </c>
      <c r="F283" s="44" t="s">
        <v>13</v>
      </c>
      <c r="G283" s="15" t="s">
        <v>957</v>
      </c>
      <c r="H283" s="7">
        <f>CEILING(1049*USD,10)</f>
        <v>67810</v>
      </c>
      <c r="I283" s="8">
        <v>0.2</v>
      </c>
      <c r="J283" s="9">
        <f t="shared" si="14"/>
        <v>54250</v>
      </c>
    </row>
    <row r="284" spans="1:10" ht="26.1" customHeight="1" x14ac:dyDescent="0.25">
      <c r="A284" s="124"/>
      <c r="B284" s="27" t="s">
        <v>954</v>
      </c>
      <c r="C284" s="10" t="s">
        <v>262</v>
      </c>
      <c r="D284" s="44" t="s">
        <v>267</v>
      </c>
      <c r="E284" s="44" t="s">
        <v>273</v>
      </c>
      <c r="F284" s="44" t="s">
        <v>13</v>
      </c>
      <c r="G284" s="15" t="s">
        <v>957</v>
      </c>
      <c r="H284" s="7">
        <f>CEILING(962*USD,10)</f>
        <v>62190</v>
      </c>
      <c r="I284" s="8">
        <v>0.2</v>
      </c>
      <c r="J284" s="9">
        <f t="shared" si="14"/>
        <v>49760</v>
      </c>
    </row>
    <row r="285" spans="1:10" ht="26.1" customHeight="1" x14ac:dyDescent="0.25">
      <c r="A285" s="124"/>
      <c r="B285" s="27" t="s">
        <v>1269</v>
      </c>
      <c r="C285" s="10" t="s">
        <v>262</v>
      </c>
      <c r="D285" s="44" t="s">
        <v>267</v>
      </c>
      <c r="E285" s="44" t="s">
        <v>273</v>
      </c>
      <c r="F285" s="44" t="s">
        <v>13</v>
      </c>
      <c r="G285" s="15" t="s">
        <v>957</v>
      </c>
      <c r="H285" s="7">
        <f>CEILING(1079*USD,10)</f>
        <v>69750</v>
      </c>
      <c r="I285" s="8">
        <v>0.2</v>
      </c>
      <c r="J285" s="9">
        <f t="shared" si="14"/>
        <v>55800</v>
      </c>
    </row>
    <row r="286" spans="1:10" ht="26.1" customHeight="1" x14ac:dyDescent="0.25">
      <c r="A286" s="124"/>
      <c r="B286" s="27" t="s">
        <v>955</v>
      </c>
      <c r="C286" s="10" t="s">
        <v>264</v>
      </c>
      <c r="D286" s="44" t="s">
        <v>268</v>
      </c>
      <c r="E286" s="44" t="s">
        <v>273</v>
      </c>
      <c r="F286" s="44" t="s">
        <v>13</v>
      </c>
      <c r="G286" s="15" t="s">
        <v>957</v>
      </c>
      <c r="H286" s="7">
        <f>CEILING(932*USD,10)</f>
        <v>60250</v>
      </c>
      <c r="I286" s="8">
        <v>0.2</v>
      </c>
      <c r="J286" s="9">
        <f t="shared" si="14"/>
        <v>48200</v>
      </c>
    </row>
    <row r="287" spans="1:10" ht="26.1" customHeight="1" x14ac:dyDescent="0.25">
      <c r="A287" s="124"/>
      <c r="B287" s="27" t="s">
        <v>1270</v>
      </c>
      <c r="C287" s="10" t="s">
        <v>264</v>
      </c>
      <c r="D287" s="44" t="s">
        <v>268</v>
      </c>
      <c r="E287" s="44" t="s">
        <v>273</v>
      </c>
      <c r="F287" s="44" t="s">
        <v>13</v>
      </c>
      <c r="G287" s="15" t="s">
        <v>957</v>
      </c>
      <c r="H287" s="7">
        <f>CEILING(1049*USD,10)</f>
        <v>67810</v>
      </c>
      <c r="I287" s="8">
        <v>0.2</v>
      </c>
      <c r="J287" s="9">
        <f t="shared" si="14"/>
        <v>54250</v>
      </c>
    </row>
    <row r="288" spans="1:10" ht="26.1" customHeight="1" x14ac:dyDescent="0.25">
      <c r="A288" s="124"/>
      <c r="B288" s="27" t="s">
        <v>960</v>
      </c>
      <c r="C288" s="10" t="s">
        <v>264</v>
      </c>
      <c r="D288" s="44" t="s">
        <v>268</v>
      </c>
      <c r="E288" s="44" t="s">
        <v>273</v>
      </c>
      <c r="F288" s="44" t="s">
        <v>13</v>
      </c>
      <c r="G288" s="15" t="s">
        <v>957</v>
      </c>
      <c r="H288" s="7">
        <f>CEILING(962*USD,10)</f>
        <v>62190</v>
      </c>
      <c r="I288" s="8">
        <v>0.2</v>
      </c>
      <c r="J288" s="9">
        <f t="shared" si="14"/>
        <v>49760</v>
      </c>
    </row>
    <row r="289" spans="1:10" ht="20.100000000000001" customHeight="1" x14ac:dyDescent="0.25">
      <c r="A289" s="139" t="s">
        <v>74</v>
      </c>
      <c r="B289" s="139"/>
      <c r="C289" s="139"/>
      <c r="D289" s="139"/>
      <c r="E289" s="139"/>
      <c r="F289" s="139"/>
      <c r="G289" s="139"/>
      <c r="H289" s="139"/>
      <c r="I289" s="139"/>
      <c r="J289" s="139"/>
    </row>
    <row r="290" spans="1:10" ht="20.100000000000001" customHeight="1" x14ac:dyDescent="0.25">
      <c r="A290" s="135" t="s">
        <v>958</v>
      </c>
      <c r="B290" s="136"/>
      <c r="C290" s="136"/>
      <c r="D290" s="136"/>
      <c r="E290" s="136"/>
      <c r="F290" s="136"/>
      <c r="G290" s="137"/>
      <c r="H290" s="9">
        <f>CEILING(100*USD,10)</f>
        <v>6470</v>
      </c>
      <c r="I290" s="8">
        <v>0</v>
      </c>
      <c r="J290" s="9">
        <f>CEILING(H290*1,10)</f>
        <v>6470</v>
      </c>
    </row>
    <row r="291" spans="1:10" ht="20.100000000000001" customHeight="1" x14ac:dyDescent="0.25">
      <c r="A291" s="135" t="s">
        <v>959</v>
      </c>
      <c r="B291" s="136"/>
      <c r="C291" s="136"/>
      <c r="D291" s="136"/>
      <c r="E291" s="136"/>
      <c r="F291" s="136"/>
      <c r="G291" s="137"/>
      <c r="H291" s="9">
        <f>CEILING(115*USD,10)</f>
        <v>7440</v>
      </c>
      <c r="I291" s="8">
        <v>0</v>
      </c>
      <c r="J291" s="9">
        <f>CEILING(H291*1,10)</f>
        <v>7440</v>
      </c>
    </row>
    <row r="292" spans="1:10" ht="20.100000000000001" customHeight="1" x14ac:dyDescent="0.25">
      <c r="A292" s="131"/>
      <c r="B292" s="131"/>
      <c r="C292" s="131"/>
      <c r="D292" s="131"/>
      <c r="E292" s="131"/>
      <c r="F292" s="131"/>
      <c r="G292" s="131"/>
      <c r="H292" s="131"/>
      <c r="I292" s="131"/>
      <c r="J292" s="131"/>
    </row>
    <row r="293" spans="1:10" ht="30" customHeight="1" x14ac:dyDescent="0.25">
      <c r="A293" s="118" t="s">
        <v>1272</v>
      </c>
      <c r="B293" s="118"/>
      <c r="C293" s="118"/>
      <c r="D293" s="118"/>
      <c r="E293" s="118"/>
      <c r="F293" s="118"/>
      <c r="G293" s="118"/>
      <c r="H293" s="118"/>
      <c r="I293" s="118"/>
      <c r="J293" s="118"/>
    </row>
    <row r="294" spans="1:10" ht="30" customHeight="1" x14ac:dyDescent="0.25">
      <c r="A294" s="44"/>
      <c r="B294" s="39" t="s">
        <v>2</v>
      </c>
      <c r="C294" s="4" t="s">
        <v>48</v>
      </c>
      <c r="D294" s="4" t="s">
        <v>49</v>
      </c>
      <c r="E294" s="39" t="s">
        <v>9</v>
      </c>
      <c r="F294" s="39" t="s">
        <v>10</v>
      </c>
      <c r="G294" s="4" t="s">
        <v>11</v>
      </c>
      <c r="H294" s="4" t="s">
        <v>17</v>
      </c>
      <c r="I294" s="4" t="s">
        <v>12</v>
      </c>
      <c r="J294" s="4" t="s">
        <v>18</v>
      </c>
    </row>
    <row r="295" spans="1:10" ht="60" customHeight="1" x14ac:dyDescent="0.25">
      <c r="A295" s="124"/>
      <c r="B295" s="6" t="s">
        <v>1881</v>
      </c>
      <c r="C295" s="44" t="s">
        <v>961</v>
      </c>
      <c r="D295" s="44" t="s">
        <v>269</v>
      </c>
      <c r="E295" s="44" t="s">
        <v>273</v>
      </c>
      <c r="F295" s="44" t="s">
        <v>13</v>
      </c>
      <c r="G295" s="15" t="s">
        <v>963</v>
      </c>
      <c r="H295" s="25">
        <f>CEILING(6902*USD,10)</f>
        <v>446150</v>
      </c>
      <c r="I295" s="8">
        <v>0.2</v>
      </c>
      <c r="J295" s="9">
        <f>CEILING(H295*0.8,10)</f>
        <v>356920</v>
      </c>
    </row>
    <row r="296" spans="1:10" ht="60" customHeight="1" x14ac:dyDescent="0.25">
      <c r="A296" s="124"/>
      <c r="B296" s="6" t="s">
        <v>1882</v>
      </c>
      <c r="C296" s="44" t="s">
        <v>962</v>
      </c>
      <c r="D296" s="44" t="s">
        <v>270</v>
      </c>
      <c r="E296" s="44" t="s">
        <v>273</v>
      </c>
      <c r="F296" s="44" t="s">
        <v>13</v>
      </c>
      <c r="G296" s="15" t="s">
        <v>963</v>
      </c>
      <c r="H296" s="25">
        <f>CEILING(6902*USD,10)</f>
        <v>446150</v>
      </c>
      <c r="I296" s="8">
        <v>0.2</v>
      </c>
      <c r="J296" s="9">
        <f>CEILING(H296*0.8,10)</f>
        <v>356920</v>
      </c>
    </row>
    <row r="297" spans="1:10" ht="20.100000000000001" customHeight="1" x14ac:dyDescent="0.25">
      <c r="A297" s="139" t="s">
        <v>74</v>
      </c>
      <c r="B297" s="139"/>
      <c r="C297" s="139"/>
      <c r="D297" s="139"/>
      <c r="E297" s="139"/>
      <c r="F297" s="139"/>
      <c r="G297" s="139"/>
      <c r="H297" s="139"/>
      <c r="I297" s="139"/>
      <c r="J297" s="139"/>
    </row>
    <row r="298" spans="1:10" ht="20.100000000000001" customHeight="1" x14ac:dyDescent="0.25">
      <c r="A298" s="135" t="s">
        <v>967</v>
      </c>
      <c r="B298" s="136"/>
      <c r="C298" s="136"/>
      <c r="D298" s="136"/>
      <c r="E298" s="136"/>
      <c r="F298" s="136"/>
      <c r="G298" s="137"/>
      <c r="H298" s="9">
        <f>CEILING(2001*USD,10)</f>
        <v>129350</v>
      </c>
      <c r="I298" s="8">
        <v>0.1</v>
      </c>
      <c r="J298" s="9">
        <f>CEILING(H298*0.9,10)</f>
        <v>116420</v>
      </c>
    </row>
    <row r="299" spans="1:10" ht="20.100000000000001" customHeight="1" x14ac:dyDescent="0.25">
      <c r="A299" s="135" t="s">
        <v>964</v>
      </c>
      <c r="B299" s="136"/>
      <c r="C299" s="136"/>
      <c r="D299" s="136"/>
      <c r="E299" s="136"/>
      <c r="F299" s="136"/>
      <c r="G299" s="137"/>
      <c r="H299" s="9">
        <f>CEILING(193*USD,10)</f>
        <v>12480</v>
      </c>
      <c r="I299" s="8">
        <v>0.1</v>
      </c>
      <c r="J299" s="9">
        <f>CEILING(H299*0.9,10)</f>
        <v>11240</v>
      </c>
    </row>
    <row r="300" spans="1:10" ht="20.100000000000001" customHeight="1" x14ac:dyDescent="0.25">
      <c r="A300" s="135" t="s">
        <v>965</v>
      </c>
      <c r="B300" s="136"/>
      <c r="C300" s="136"/>
      <c r="D300" s="136"/>
      <c r="E300" s="136"/>
      <c r="F300" s="136"/>
      <c r="G300" s="137"/>
      <c r="H300" s="9">
        <f>CEILING(167*USD,10)</f>
        <v>10800</v>
      </c>
      <c r="I300" s="8">
        <v>0.1</v>
      </c>
      <c r="J300" s="9">
        <f>CEILING(H300*0.9,10)</f>
        <v>9720</v>
      </c>
    </row>
    <row r="301" spans="1:10" ht="20.100000000000001" customHeight="1" x14ac:dyDescent="0.25">
      <c r="A301" s="135" t="s">
        <v>966</v>
      </c>
      <c r="B301" s="136"/>
      <c r="C301" s="136"/>
      <c r="D301" s="136"/>
      <c r="E301" s="136"/>
      <c r="F301" s="136"/>
      <c r="G301" s="137"/>
      <c r="H301" s="9">
        <f>CEILING(142*USD,10)</f>
        <v>9180</v>
      </c>
      <c r="I301" s="8">
        <v>0.1</v>
      </c>
      <c r="J301" s="9">
        <f>CEILING(H301*0.9,10)</f>
        <v>8270</v>
      </c>
    </row>
    <row r="302" spans="1:10" ht="20.100000000000001" customHeight="1" x14ac:dyDescent="0.25">
      <c r="A302" s="135" t="s">
        <v>968</v>
      </c>
      <c r="B302" s="136"/>
      <c r="C302" s="136"/>
      <c r="D302" s="136"/>
      <c r="E302" s="136"/>
      <c r="F302" s="136"/>
      <c r="G302" s="137"/>
      <c r="H302" s="9">
        <f>CEILING(102*USD,10)</f>
        <v>6600</v>
      </c>
      <c r="I302" s="8">
        <v>0.1</v>
      </c>
      <c r="J302" s="9">
        <f>CEILING(H302*0.9,10)</f>
        <v>5940</v>
      </c>
    </row>
    <row r="303" spans="1:10" ht="20.100000000000001" customHeight="1" x14ac:dyDescent="0.25">
      <c r="A303" s="131"/>
      <c r="B303" s="131"/>
      <c r="C303" s="131"/>
      <c r="D303" s="131"/>
      <c r="E303" s="131"/>
      <c r="F303" s="131"/>
      <c r="G303" s="131"/>
      <c r="H303" s="131"/>
      <c r="I303" s="131"/>
      <c r="J303" s="131"/>
    </row>
    <row r="304" spans="1:10" ht="30" customHeight="1" x14ac:dyDescent="0.25">
      <c r="A304" s="118" t="s">
        <v>1273</v>
      </c>
      <c r="B304" s="118"/>
      <c r="C304" s="118"/>
      <c r="D304" s="118"/>
      <c r="E304" s="118"/>
      <c r="F304" s="118"/>
      <c r="G304" s="118"/>
      <c r="H304" s="118"/>
      <c r="I304" s="118"/>
      <c r="J304" s="118"/>
    </row>
    <row r="305" spans="1:10" ht="30" customHeight="1" x14ac:dyDescent="0.25">
      <c r="A305" s="44"/>
      <c r="B305" s="39" t="s">
        <v>2</v>
      </c>
      <c r="C305" s="4" t="s">
        <v>48</v>
      </c>
      <c r="D305" s="4" t="s">
        <v>49</v>
      </c>
      <c r="E305" s="39" t="s">
        <v>9</v>
      </c>
      <c r="F305" s="39" t="s">
        <v>10</v>
      </c>
      <c r="G305" s="4" t="s">
        <v>11</v>
      </c>
      <c r="H305" s="4" t="s">
        <v>17</v>
      </c>
      <c r="I305" s="4" t="s">
        <v>12</v>
      </c>
      <c r="J305" s="4" t="s">
        <v>18</v>
      </c>
    </row>
    <row r="306" spans="1:10" ht="60" customHeight="1" x14ac:dyDescent="0.25">
      <c r="A306" s="124"/>
      <c r="B306" s="39" t="s">
        <v>1276</v>
      </c>
      <c r="C306" s="44" t="s">
        <v>899</v>
      </c>
      <c r="D306" s="44" t="s">
        <v>260</v>
      </c>
      <c r="E306" s="44" t="s">
        <v>273</v>
      </c>
      <c r="F306" s="44" t="s">
        <v>13</v>
      </c>
      <c r="G306" s="45" t="s">
        <v>1274</v>
      </c>
      <c r="H306" s="25">
        <f>CEILING(1275*USD,10)</f>
        <v>82420</v>
      </c>
      <c r="I306" s="8">
        <v>0.05</v>
      </c>
      <c r="J306" s="9">
        <f>CEILING(H306*0.95,10)</f>
        <v>78300</v>
      </c>
    </row>
    <row r="307" spans="1:10" ht="60" customHeight="1" x14ac:dyDescent="0.25">
      <c r="A307" s="124"/>
      <c r="B307" s="39" t="s">
        <v>1277</v>
      </c>
      <c r="C307" s="44" t="s">
        <v>900</v>
      </c>
      <c r="D307" s="44" t="s">
        <v>536</v>
      </c>
      <c r="E307" s="44" t="s">
        <v>273</v>
      </c>
      <c r="F307" s="44" t="s">
        <v>13</v>
      </c>
      <c r="G307" s="45" t="s">
        <v>1274</v>
      </c>
      <c r="H307" s="25">
        <f>CEILING(1275*USD,10)</f>
        <v>82420</v>
      </c>
      <c r="I307" s="8">
        <v>0.05</v>
      </c>
      <c r="J307" s="9">
        <f>CEILING(H307*0.95,10)</f>
        <v>78300</v>
      </c>
    </row>
    <row r="308" spans="1:10" ht="20.100000000000001" customHeight="1" x14ac:dyDescent="0.25">
      <c r="A308" s="139" t="s">
        <v>74</v>
      </c>
      <c r="B308" s="139"/>
      <c r="C308" s="139"/>
      <c r="D308" s="139"/>
      <c r="E308" s="139"/>
      <c r="F308" s="139"/>
      <c r="G308" s="139"/>
      <c r="H308" s="139"/>
      <c r="I308" s="139"/>
      <c r="J308" s="139"/>
    </row>
    <row r="309" spans="1:10" ht="20.100000000000001" customHeight="1" x14ac:dyDescent="0.25">
      <c r="A309" s="135" t="s">
        <v>1275</v>
      </c>
      <c r="B309" s="136"/>
      <c r="C309" s="136"/>
      <c r="D309" s="136"/>
      <c r="E309" s="136"/>
      <c r="F309" s="136"/>
      <c r="G309" s="137"/>
      <c r="H309" s="9">
        <f>CEILING(656*USD,10)</f>
        <v>42410</v>
      </c>
      <c r="I309" s="8">
        <v>0.2</v>
      </c>
      <c r="J309" s="9">
        <f>CEILING(H309*0.8,10)</f>
        <v>33930</v>
      </c>
    </row>
    <row r="310" spans="1:10" ht="20.100000000000001" customHeight="1" x14ac:dyDescent="0.25">
      <c r="A310" s="131"/>
      <c r="B310" s="131"/>
      <c r="C310" s="131"/>
      <c r="D310" s="131"/>
      <c r="E310" s="131"/>
      <c r="F310" s="131"/>
      <c r="G310" s="131"/>
      <c r="H310" s="131"/>
      <c r="I310" s="131"/>
      <c r="J310" s="131"/>
    </row>
    <row r="311" spans="1:10" ht="30" customHeight="1" x14ac:dyDescent="0.25">
      <c r="A311" s="118" t="s">
        <v>1278</v>
      </c>
      <c r="B311" s="118"/>
      <c r="C311" s="118"/>
      <c r="D311" s="118"/>
      <c r="E311" s="118"/>
      <c r="F311" s="118"/>
      <c r="G311" s="118"/>
      <c r="H311" s="118"/>
      <c r="I311" s="118"/>
      <c r="J311" s="118"/>
    </row>
    <row r="312" spans="1:10" ht="30" customHeight="1" x14ac:dyDescent="0.25">
      <c r="A312" s="44"/>
      <c r="B312" s="39" t="s">
        <v>2</v>
      </c>
      <c r="C312" s="4" t="s">
        <v>48</v>
      </c>
      <c r="D312" s="4" t="s">
        <v>49</v>
      </c>
      <c r="E312" s="39" t="s">
        <v>9</v>
      </c>
      <c r="F312" s="39" t="s">
        <v>10</v>
      </c>
      <c r="G312" s="4" t="s">
        <v>11</v>
      </c>
      <c r="H312" s="4" t="s">
        <v>17</v>
      </c>
      <c r="I312" s="4" t="s">
        <v>12</v>
      </c>
      <c r="J312" s="4" t="s">
        <v>18</v>
      </c>
    </row>
    <row r="313" spans="1:10" ht="50.1" customHeight="1" x14ac:dyDescent="0.25">
      <c r="A313" s="124"/>
      <c r="B313" s="6" t="s">
        <v>969</v>
      </c>
      <c r="C313" s="44" t="s">
        <v>785</v>
      </c>
      <c r="D313" s="44" t="s">
        <v>241</v>
      </c>
      <c r="E313" s="44" t="s">
        <v>273</v>
      </c>
      <c r="F313" s="44" t="s">
        <v>13</v>
      </c>
      <c r="G313" s="15" t="s">
        <v>906</v>
      </c>
      <c r="H313" s="7">
        <f>CEILING(405*USD,10)</f>
        <v>26180</v>
      </c>
      <c r="I313" s="8">
        <v>0.2</v>
      </c>
      <c r="J313" s="9">
        <f>CEILING(H313*0.8,10)</f>
        <v>20950</v>
      </c>
    </row>
    <row r="314" spans="1:10" ht="50.1" customHeight="1" x14ac:dyDescent="0.25">
      <c r="A314" s="124"/>
      <c r="B314" s="6" t="s">
        <v>970</v>
      </c>
      <c r="C314" s="44" t="s">
        <v>899</v>
      </c>
      <c r="D314" s="44" t="s">
        <v>260</v>
      </c>
      <c r="E314" s="44" t="s">
        <v>273</v>
      </c>
      <c r="F314" s="44" t="s">
        <v>13</v>
      </c>
      <c r="G314" s="15" t="s">
        <v>906</v>
      </c>
      <c r="H314" s="7">
        <f>CEILING(678*USD,10)</f>
        <v>43830</v>
      </c>
      <c r="I314" s="8">
        <v>0.2</v>
      </c>
      <c r="J314" s="9">
        <f>CEILING(H314*0.8,10)</f>
        <v>35070</v>
      </c>
    </row>
    <row r="315" spans="1:10" ht="50.1" customHeight="1" x14ac:dyDescent="0.25">
      <c r="A315" s="124"/>
      <c r="B315" s="6" t="s">
        <v>971</v>
      </c>
      <c r="C315" s="44" t="s">
        <v>900</v>
      </c>
      <c r="D315" s="44" t="s">
        <v>536</v>
      </c>
      <c r="E315" s="44" t="s">
        <v>273</v>
      </c>
      <c r="F315" s="44" t="s">
        <v>13</v>
      </c>
      <c r="G315" s="15" t="s">
        <v>906</v>
      </c>
      <c r="H315" s="7">
        <f>CEILING(678*USD,10)</f>
        <v>43830</v>
      </c>
      <c r="I315" s="8">
        <v>0.2</v>
      </c>
      <c r="J315" s="9">
        <f>CEILING(H315*0.8,10)</f>
        <v>35070</v>
      </c>
    </row>
    <row r="316" spans="1:10" ht="50.1" customHeight="1" x14ac:dyDescent="0.25">
      <c r="A316" s="124"/>
      <c r="B316" s="6" t="s">
        <v>972</v>
      </c>
      <c r="C316" s="44" t="s">
        <v>901</v>
      </c>
      <c r="D316" s="44" t="s">
        <v>536</v>
      </c>
      <c r="E316" s="44" t="s">
        <v>273</v>
      </c>
      <c r="F316" s="44" t="s">
        <v>13</v>
      </c>
      <c r="G316" s="15" t="s">
        <v>906</v>
      </c>
      <c r="H316" s="7">
        <f>CEILING(714*USD,10)</f>
        <v>46160</v>
      </c>
      <c r="I316" s="8">
        <v>0.2</v>
      </c>
      <c r="J316" s="9">
        <f>CEILING(H316*0.8,10)</f>
        <v>36930</v>
      </c>
    </row>
    <row r="317" spans="1:10" ht="50.1" customHeight="1" x14ac:dyDescent="0.25">
      <c r="A317" s="124"/>
      <c r="B317" s="6" t="s">
        <v>973</v>
      </c>
      <c r="C317" s="44" t="s">
        <v>902</v>
      </c>
      <c r="D317" s="44" t="s">
        <v>537</v>
      </c>
      <c r="E317" s="44" t="s">
        <v>273</v>
      </c>
      <c r="F317" s="44" t="s">
        <v>13</v>
      </c>
      <c r="G317" s="15" t="s">
        <v>906</v>
      </c>
      <c r="H317" s="7">
        <f>CEILING(762*USD,10)</f>
        <v>49260</v>
      </c>
      <c r="I317" s="8">
        <v>0.2</v>
      </c>
      <c r="J317" s="9">
        <f>CEILING(H317*0.8,10)</f>
        <v>39410</v>
      </c>
    </row>
    <row r="318" spans="1:10" ht="20.100000000000001" customHeight="1" x14ac:dyDescent="0.25">
      <c r="A318" s="131"/>
      <c r="B318" s="131"/>
      <c r="C318" s="131"/>
      <c r="D318" s="131"/>
      <c r="E318" s="131"/>
      <c r="F318" s="131"/>
      <c r="G318" s="131"/>
      <c r="H318" s="131"/>
      <c r="I318" s="131"/>
      <c r="J318" s="131"/>
    </row>
    <row r="319" spans="1:10" ht="30" customHeight="1" x14ac:dyDescent="0.25">
      <c r="A319" s="118" t="s">
        <v>1279</v>
      </c>
      <c r="B319" s="118"/>
      <c r="C319" s="118"/>
      <c r="D319" s="118"/>
      <c r="E319" s="118"/>
      <c r="F319" s="118"/>
      <c r="G319" s="118"/>
      <c r="H319" s="118"/>
      <c r="I319" s="118"/>
      <c r="J319" s="118"/>
    </row>
    <row r="320" spans="1:10" ht="30" customHeight="1" x14ac:dyDescent="0.25">
      <c r="A320" s="44"/>
      <c r="B320" s="39" t="s">
        <v>2</v>
      </c>
      <c r="C320" s="4" t="s">
        <v>48</v>
      </c>
      <c r="D320" s="4" t="s">
        <v>49</v>
      </c>
      <c r="E320" s="39" t="s">
        <v>9</v>
      </c>
      <c r="F320" s="39" t="s">
        <v>10</v>
      </c>
      <c r="G320" s="4" t="s">
        <v>11</v>
      </c>
      <c r="H320" s="4" t="s">
        <v>17</v>
      </c>
      <c r="I320" s="4" t="s">
        <v>12</v>
      </c>
      <c r="J320" s="4" t="s">
        <v>18</v>
      </c>
    </row>
    <row r="321" spans="1:10" ht="20.100000000000001" customHeight="1" x14ac:dyDescent="0.25">
      <c r="A321" s="124"/>
      <c r="B321" s="6" t="s">
        <v>974</v>
      </c>
      <c r="C321" s="44" t="s">
        <v>899</v>
      </c>
      <c r="D321" s="44" t="s">
        <v>260</v>
      </c>
      <c r="E321" s="44" t="s">
        <v>273</v>
      </c>
      <c r="F321" s="44" t="s">
        <v>13</v>
      </c>
      <c r="G321" s="15" t="s">
        <v>906</v>
      </c>
      <c r="H321" s="7">
        <f>CEILING(1201*USD,10)</f>
        <v>77640</v>
      </c>
      <c r="I321" s="8">
        <v>0.2</v>
      </c>
      <c r="J321" s="9">
        <f>CEILING(H321*0.8,10)</f>
        <v>62120</v>
      </c>
    </row>
    <row r="322" spans="1:10" ht="20.100000000000001" customHeight="1" x14ac:dyDescent="0.25">
      <c r="A322" s="124"/>
      <c r="B322" s="6" t="s">
        <v>975</v>
      </c>
      <c r="C322" s="44" t="s">
        <v>900</v>
      </c>
      <c r="D322" s="44" t="s">
        <v>536</v>
      </c>
      <c r="E322" s="44" t="s">
        <v>273</v>
      </c>
      <c r="F322" s="44" t="s">
        <v>13</v>
      </c>
      <c r="G322" s="15" t="s">
        <v>906</v>
      </c>
      <c r="H322" s="7">
        <f>CEILING(1201*USD,10)</f>
        <v>77640</v>
      </c>
      <c r="I322" s="8">
        <v>0.2</v>
      </c>
      <c r="J322" s="9">
        <f t="shared" ref="J322:J332" si="15">CEILING(H322*0.8,10)</f>
        <v>62120</v>
      </c>
    </row>
    <row r="323" spans="1:10" ht="20.100000000000001" customHeight="1" x14ac:dyDescent="0.25">
      <c r="A323" s="124"/>
      <c r="B323" s="6" t="s">
        <v>1280</v>
      </c>
      <c r="C323" s="44" t="s">
        <v>900</v>
      </c>
      <c r="D323" s="44" t="s">
        <v>536</v>
      </c>
      <c r="E323" s="44" t="s">
        <v>273</v>
      </c>
      <c r="F323" s="44" t="s">
        <v>13</v>
      </c>
      <c r="G323" s="15" t="s">
        <v>906</v>
      </c>
      <c r="H323" s="7">
        <f>CEILING(2047*USD,10)</f>
        <v>132320</v>
      </c>
      <c r="I323" s="8">
        <v>0.2</v>
      </c>
      <c r="J323" s="9">
        <f t="shared" si="15"/>
        <v>105860</v>
      </c>
    </row>
    <row r="324" spans="1:10" ht="20.100000000000001" customHeight="1" x14ac:dyDescent="0.25">
      <c r="A324" s="124"/>
      <c r="B324" s="6" t="s">
        <v>976</v>
      </c>
      <c r="C324" s="44" t="s">
        <v>901</v>
      </c>
      <c r="D324" s="44" t="s">
        <v>537</v>
      </c>
      <c r="E324" s="44" t="s">
        <v>273</v>
      </c>
      <c r="F324" s="44" t="s">
        <v>13</v>
      </c>
      <c r="G324" s="15" t="s">
        <v>906</v>
      </c>
      <c r="H324" s="7">
        <f>CEILING(1201*USD,10)</f>
        <v>77640</v>
      </c>
      <c r="I324" s="8">
        <v>0.2</v>
      </c>
      <c r="J324" s="9">
        <f t="shared" si="15"/>
        <v>62120</v>
      </c>
    </row>
    <row r="325" spans="1:10" ht="20.100000000000001" customHeight="1" x14ac:dyDescent="0.25">
      <c r="A325" s="124"/>
      <c r="B325" s="6" t="s">
        <v>977</v>
      </c>
      <c r="C325" s="44" t="s">
        <v>902</v>
      </c>
      <c r="D325" s="44" t="s">
        <v>537</v>
      </c>
      <c r="E325" s="44" t="s">
        <v>273</v>
      </c>
      <c r="F325" s="44" t="s">
        <v>13</v>
      </c>
      <c r="G325" s="15" t="s">
        <v>906</v>
      </c>
      <c r="H325" s="7">
        <f>CEILING(1331*USD,10)</f>
        <v>86040</v>
      </c>
      <c r="I325" s="8">
        <v>0.2</v>
      </c>
      <c r="J325" s="9">
        <f t="shared" si="15"/>
        <v>68840</v>
      </c>
    </row>
    <row r="326" spans="1:10" ht="20.100000000000001" customHeight="1" x14ac:dyDescent="0.25">
      <c r="A326" s="124"/>
      <c r="B326" s="6" t="s">
        <v>1281</v>
      </c>
      <c r="C326" s="44" t="s">
        <v>902</v>
      </c>
      <c r="D326" s="44" t="s">
        <v>537</v>
      </c>
      <c r="E326" s="44" t="s">
        <v>273</v>
      </c>
      <c r="F326" s="44" t="s">
        <v>13</v>
      </c>
      <c r="G326" s="15" t="s">
        <v>906</v>
      </c>
      <c r="H326" s="7">
        <f>CEILING(2164*USD,10)</f>
        <v>139890</v>
      </c>
      <c r="I326" s="8">
        <v>0.2</v>
      </c>
      <c r="J326" s="9">
        <f t="shared" si="15"/>
        <v>111920</v>
      </c>
    </row>
    <row r="327" spans="1:10" ht="20.100000000000001" customHeight="1" x14ac:dyDescent="0.25">
      <c r="A327" s="124"/>
      <c r="B327" s="6" t="s">
        <v>978</v>
      </c>
      <c r="C327" s="44" t="s">
        <v>904</v>
      </c>
      <c r="D327" s="44" t="s">
        <v>269</v>
      </c>
      <c r="E327" s="44" t="s">
        <v>273</v>
      </c>
      <c r="F327" s="44" t="s">
        <v>13</v>
      </c>
      <c r="G327" s="15" t="s">
        <v>906</v>
      </c>
      <c r="H327" s="7">
        <f>CEILING(2583*USD,10)</f>
        <v>166970</v>
      </c>
      <c r="I327" s="8">
        <v>0.2</v>
      </c>
      <c r="J327" s="9">
        <f t="shared" si="15"/>
        <v>133580</v>
      </c>
    </row>
    <row r="328" spans="1:10" ht="20.100000000000001" customHeight="1" x14ac:dyDescent="0.25">
      <c r="A328" s="124"/>
      <c r="B328" s="6" t="s">
        <v>1282</v>
      </c>
      <c r="C328" s="44" t="s">
        <v>904</v>
      </c>
      <c r="D328" s="44" t="s">
        <v>269</v>
      </c>
      <c r="E328" s="44" t="s">
        <v>273</v>
      </c>
      <c r="F328" s="44" t="s">
        <v>13</v>
      </c>
      <c r="G328" s="15" t="s">
        <v>906</v>
      </c>
      <c r="H328" s="7">
        <f>CEILING(3309*USD,10)</f>
        <v>213900</v>
      </c>
      <c r="I328" s="8">
        <v>0.2</v>
      </c>
      <c r="J328" s="9">
        <f t="shared" si="15"/>
        <v>171120</v>
      </c>
    </row>
    <row r="329" spans="1:10" ht="20.100000000000001" customHeight="1" x14ac:dyDescent="0.25">
      <c r="A329" s="124"/>
      <c r="B329" s="6" t="s">
        <v>979</v>
      </c>
      <c r="C329" s="44" t="s">
        <v>905</v>
      </c>
      <c r="D329" s="44" t="s">
        <v>270</v>
      </c>
      <c r="E329" s="44" t="s">
        <v>273</v>
      </c>
      <c r="F329" s="44" t="s">
        <v>13</v>
      </c>
      <c r="G329" s="15" t="s">
        <v>906</v>
      </c>
      <c r="H329" s="7">
        <f>CEILING(2985*USD,10)</f>
        <v>192960</v>
      </c>
      <c r="I329" s="8">
        <v>0.2</v>
      </c>
      <c r="J329" s="9">
        <f t="shared" si="15"/>
        <v>154370</v>
      </c>
    </row>
    <row r="330" spans="1:10" ht="20.100000000000001" customHeight="1" x14ac:dyDescent="0.25">
      <c r="A330" s="124"/>
      <c r="B330" s="6" t="s">
        <v>1283</v>
      </c>
      <c r="C330" s="44" t="s">
        <v>905</v>
      </c>
      <c r="D330" s="44" t="s">
        <v>270</v>
      </c>
      <c r="E330" s="44" t="s">
        <v>273</v>
      </c>
      <c r="F330" s="44" t="s">
        <v>13</v>
      </c>
      <c r="G330" s="15" t="s">
        <v>906</v>
      </c>
      <c r="H330" s="7">
        <f>CEILING(3647*USD,10)</f>
        <v>235750</v>
      </c>
      <c r="I330" s="8">
        <v>0.2</v>
      </c>
      <c r="J330" s="9">
        <f t="shared" si="15"/>
        <v>188600</v>
      </c>
    </row>
    <row r="331" spans="1:10" ht="20.100000000000001" customHeight="1" x14ac:dyDescent="0.25">
      <c r="A331" s="124"/>
      <c r="B331" s="6" t="s">
        <v>980</v>
      </c>
      <c r="C331" s="44" t="s">
        <v>981</v>
      </c>
      <c r="D331" s="44" t="s">
        <v>270</v>
      </c>
      <c r="E331" s="44" t="s">
        <v>273</v>
      </c>
      <c r="F331" s="44" t="s">
        <v>13</v>
      </c>
      <c r="G331" s="15" t="s">
        <v>906</v>
      </c>
      <c r="H331" s="7">
        <f>CEILING(3306*USD,10)</f>
        <v>213700</v>
      </c>
      <c r="I331" s="8">
        <v>0.2</v>
      </c>
      <c r="J331" s="9">
        <f t="shared" si="15"/>
        <v>170960</v>
      </c>
    </row>
    <row r="332" spans="1:10" ht="20.100000000000001" customHeight="1" x14ac:dyDescent="0.25">
      <c r="A332" s="124"/>
      <c r="B332" s="6" t="s">
        <v>1284</v>
      </c>
      <c r="C332" s="44" t="s">
        <v>981</v>
      </c>
      <c r="D332" s="44" t="s">
        <v>270</v>
      </c>
      <c r="E332" s="44" t="s">
        <v>273</v>
      </c>
      <c r="F332" s="44" t="s">
        <v>13</v>
      </c>
      <c r="G332" s="15" t="s">
        <v>906</v>
      </c>
      <c r="H332" s="7">
        <f>CEILING(3715*USD,10)</f>
        <v>240140</v>
      </c>
      <c r="I332" s="8">
        <v>0.2</v>
      </c>
      <c r="J332" s="9">
        <f t="shared" si="15"/>
        <v>192120</v>
      </c>
    </row>
  </sheetData>
  <mergeCells count="126">
    <mergeCell ref="A110:G110"/>
    <mergeCell ref="A111:G111"/>
    <mergeCell ref="A112:G112"/>
    <mergeCell ref="A113:J113"/>
    <mergeCell ref="A210:J210"/>
    <mergeCell ref="A222:J222"/>
    <mergeCell ref="A228:J228"/>
    <mergeCell ref="A211:J211"/>
    <mergeCell ref="A213:A220"/>
    <mergeCell ref="A144:G144"/>
    <mergeCell ref="A145:J145"/>
    <mergeCell ref="A146:J146"/>
    <mergeCell ref="A148:A157"/>
    <mergeCell ref="A162:J162"/>
    <mergeCell ref="A176:J176"/>
    <mergeCell ref="A183:J183"/>
    <mergeCell ref="A185:A190"/>
    <mergeCell ref="A191:J191"/>
    <mergeCell ref="A179:A181"/>
    <mergeCell ref="A182:J182"/>
    <mergeCell ref="A1:J1"/>
    <mergeCell ref="A3:A12"/>
    <mergeCell ref="A15:J15"/>
    <mergeCell ref="A141:J141"/>
    <mergeCell ref="A13:J13"/>
    <mergeCell ref="A66:J66"/>
    <mergeCell ref="A69:A73"/>
    <mergeCell ref="A74:J74"/>
    <mergeCell ref="A86:J86"/>
    <mergeCell ref="A87:J87"/>
    <mergeCell ref="A16:J16"/>
    <mergeCell ref="A18:A38"/>
    <mergeCell ref="A39:J39"/>
    <mergeCell ref="A58:G58"/>
    <mergeCell ref="A59:J59"/>
    <mergeCell ref="A67:J67"/>
    <mergeCell ref="A128:A140"/>
    <mergeCell ref="A114:J114"/>
    <mergeCell ref="A40:J40"/>
    <mergeCell ref="A42:A48"/>
    <mergeCell ref="A49:J49"/>
    <mergeCell ref="A50:J50"/>
    <mergeCell ref="A52:A56"/>
    <mergeCell ref="A57:J57"/>
    <mergeCell ref="A14:G14"/>
    <mergeCell ref="A126:J126"/>
    <mergeCell ref="A60:J60"/>
    <mergeCell ref="A62:A65"/>
    <mergeCell ref="A82:A85"/>
    <mergeCell ref="A170:J170"/>
    <mergeCell ref="A159:G159"/>
    <mergeCell ref="A160:G160"/>
    <mergeCell ref="A75:J75"/>
    <mergeCell ref="A77:A78"/>
    <mergeCell ref="A163:J163"/>
    <mergeCell ref="A165:A168"/>
    <mergeCell ref="A169:J169"/>
    <mergeCell ref="A161:G161"/>
    <mergeCell ref="A143:G143"/>
    <mergeCell ref="A79:J79"/>
    <mergeCell ref="A120:J120"/>
    <mergeCell ref="A122:A124"/>
    <mergeCell ref="A125:J125"/>
    <mergeCell ref="A80:J80"/>
    <mergeCell ref="A119:J119"/>
    <mergeCell ref="A89:A95"/>
    <mergeCell ref="A96:J96"/>
    <mergeCell ref="A97:J97"/>
    <mergeCell ref="A319:J319"/>
    <mergeCell ref="A321:A332"/>
    <mergeCell ref="A302:G302"/>
    <mergeCell ref="A303:J303"/>
    <mergeCell ref="A311:J311"/>
    <mergeCell ref="A313:A317"/>
    <mergeCell ref="A318:J318"/>
    <mergeCell ref="A304:J304"/>
    <mergeCell ref="A306:A307"/>
    <mergeCell ref="A308:J308"/>
    <mergeCell ref="A99:A108"/>
    <mergeCell ref="A309:G309"/>
    <mergeCell ref="A280:A288"/>
    <mergeCell ref="A290:G290"/>
    <mergeCell ref="A291:G291"/>
    <mergeCell ref="A292:J292"/>
    <mergeCell ref="A310:J310"/>
    <mergeCell ref="A299:G299"/>
    <mergeCell ref="A300:G300"/>
    <mergeCell ref="A301:G301"/>
    <mergeCell ref="A293:J293"/>
    <mergeCell ref="A295:A296"/>
    <mergeCell ref="A289:J289"/>
    <mergeCell ref="A109:J109"/>
    <mergeCell ref="A297:J297"/>
    <mergeCell ref="A298:G298"/>
    <mergeCell ref="A158:J158"/>
    <mergeCell ref="A142:G142"/>
    <mergeCell ref="A116:A118"/>
    <mergeCell ref="A273:J273"/>
    <mergeCell ref="A274:G274"/>
    <mergeCell ref="A276:G276"/>
    <mergeCell ref="A278:J278"/>
    <mergeCell ref="A237:J237"/>
    <mergeCell ref="A238:J238"/>
    <mergeCell ref="A240:A245"/>
    <mergeCell ref="A246:J246"/>
    <mergeCell ref="A247:J247"/>
    <mergeCell ref="A249:A258"/>
    <mergeCell ref="A260:J260"/>
    <mergeCell ref="A275:G275"/>
    <mergeCell ref="A277:J277"/>
    <mergeCell ref="A172:A175"/>
    <mergeCell ref="A262:A272"/>
    <mergeCell ref="A259:J259"/>
    <mergeCell ref="A224:A227"/>
    <mergeCell ref="A177:J177"/>
    <mergeCell ref="A192:J192"/>
    <mergeCell ref="A194:A197"/>
    <mergeCell ref="A198:J198"/>
    <mergeCell ref="A199:J199"/>
    <mergeCell ref="A201:A204"/>
    <mergeCell ref="A205:J205"/>
    <mergeCell ref="A229:J229"/>
    <mergeCell ref="A221:J221"/>
    <mergeCell ref="A231:A236"/>
    <mergeCell ref="A206:J206"/>
    <mergeCell ref="A208:A209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8" r:id="rId8"/>
    <hyperlink ref="B19" r:id="rId9"/>
    <hyperlink ref="B20" r:id="rId10"/>
    <hyperlink ref="B21" r:id="rId11"/>
    <hyperlink ref="B22" r:id="rId12"/>
    <hyperlink ref="B23" r:id="rId13"/>
    <hyperlink ref="B24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4" r:id="rId22"/>
    <hyperlink ref="B36" r:id="rId23"/>
    <hyperlink ref="B38" r:id="rId24"/>
    <hyperlink ref="B42" r:id="rId25"/>
    <hyperlink ref="B43" r:id="rId26"/>
    <hyperlink ref="B44" r:id="rId27"/>
    <hyperlink ref="B45" r:id="rId28"/>
    <hyperlink ref="B46" r:id="rId29"/>
    <hyperlink ref="B47" r:id="rId30"/>
    <hyperlink ref="B48" r:id="rId31"/>
    <hyperlink ref="B82" r:id="rId32"/>
    <hyperlink ref="B83" r:id="rId33"/>
    <hyperlink ref="B84" r:id="rId34"/>
    <hyperlink ref="B85" r:id="rId35"/>
    <hyperlink ref="B89" r:id="rId36"/>
    <hyperlink ref="B90" r:id="rId37"/>
    <hyperlink ref="B92" r:id="rId38"/>
    <hyperlink ref="B95" r:id="rId39"/>
    <hyperlink ref="B91" r:id="rId40"/>
    <hyperlink ref="B93" r:id="rId41"/>
    <hyperlink ref="B94" r:id="rId42"/>
    <hyperlink ref="B116" r:id="rId43"/>
    <hyperlink ref="B117" r:id="rId44"/>
    <hyperlink ref="B118" r:id="rId45"/>
    <hyperlink ref="B128" r:id="rId46" display="SW-I-2"/>
    <hyperlink ref="B129" r:id="rId47" display="SW-I-5"/>
    <hyperlink ref="B130" r:id="rId48" display="SW-I-10"/>
    <hyperlink ref="B131" r:id="rId49" display="SW-I-20"/>
    <hyperlink ref="B136" r:id="rId50"/>
    <hyperlink ref="B138" r:id="rId51"/>
    <hyperlink ref="B140" r:id="rId52"/>
    <hyperlink ref="B148" r:id="rId53" display="SW-II-2"/>
    <hyperlink ref="B150" r:id="rId54" display="SW-II-5"/>
    <hyperlink ref="B152" r:id="rId55" display="SW-II-10"/>
    <hyperlink ref="B154" r:id="rId56" display="SW-II-30"/>
    <hyperlink ref="B165" r:id="rId57"/>
    <hyperlink ref="B166" r:id="rId58"/>
    <hyperlink ref="B167" r:id="rId59"/>
    <hyperlink ref="B168" r:id="rId60"/>
    <hyperlink ref="B172" r:id="rId61"/>
    <hyperlink ref="B173" r:id="rId62"/>
    <hyperlink ref="B174" r:id="rId63"/>
    <hyperlink ref="B175" r:id="rId64"/>
    <hyperlink ref="B185" r:id="rId65" display="BW-6"/>
    <hyperlink ref="B186" r:id="rId66" display="BW-15"/>
    <hyperlink ref="B187" r:id="rId67" display="BW-30"/>
    <hyperlink ref="B188" r:id="rId68" display="BW-60"/>
    <hyperlink ref="B189" r:id="rId69" display="BW-150"/>
    <hyperlink ref="B190" r:id="rId70" display="BW-500"/>
    <hyperlink ref="B194" r:id="rId71"/>
    <hyperlink ref="B195" r:id="rId72"/>
    <hyperlink ref="B196" r:id="rId73"/>
    <hyperlink ref="B197" r:id="rId74"/>
    <hyperlink ref="B201" r:id="rId75" display="DB-1H 60"/>
    <hyperlink ref="B202" r:id="rId76" display="DB-1H 150"/>
    <hyperlink ref="B203" r:id="rId77" display="DB-1H 200"/>
    <hyperlink ref="B204" r:id="rId78"/>
    <hyperlink ref="B208" r:id="rId79"/>
    <hyperlink ref="B209" r:id="rId80"/>
    <hyperlink ref="B225" r:id="rId81"/>
    <hyperlink ref="B226" r:id="rId82"/>
    <hyperlink ref="B227" r:id="rId83"/>
    <hyperlink ref="B295" r:id="rId84" display="RW-10P"/>
    <hyperlink ref="B296" r:id="rId85" display="RW-15P"/>
    <hyperlink ref="B313" r:id="rId86"/>
    <hyperlink ref="B314" r:id="rId87"/>
    <hyperlink ref="B315" r:id="rId88"/>
    <hyperlink ref="B316" r:id="rId89"/>
    <hyperlink ref="B317" r:id="rId90"/>
    <hyperlink ref="B321" r:id="rId91"/>
    <hyperlink ref="B322" r:id="rId92"/>
    <hyperlink ref="B324" r:id="rId93"/>
    <hyperlink ref="B325" r:id="rId94" display="15 THD"/>
    <hyperlink ref="B323" r:id="rId95" display="2 THD с BT"/>
    <hyperlink ref="B326" r:id="rId96" display="5 THD с BT"/>
    <hyperlink ref="B327" r:id="rId97"/>
    <hyperlink ref="B328" r:id="rId98" display="10 THD с BT"/>
    <hyperlink ref="B329" r:id="rId99"/>
    <hyperlink ref="B330" r:id="rId100" display="15 THD с BT"/>
    <hyperlink ref="B331" r:id="rId101"/>
    <hyperlink ref="B332" r:id="rId102" display="20 THD с BT"/>
    <hyperlink ref="B10" r:id="rId103"/>
    <hyperlink ref="B12" r:id="rId104"/>
    <hyperlink ref="B11" r:id="rId105"/>
    <hyperlink ref="B33" r:id="rId106"/>
    <hyperlink ref="B69" r:id="rId107"/>
    <hyperlink ref="B70" r:id="rId108"/>
    <hyperlink ref="B71" r:id="rId109"/>
    <hyperlink ref="B72" r:id="rId110"/>
    <hyperlink ref="B73" r:id="rId111"/>
    <hyperlink ref="B179" r:id="rId112"/>
    <hyperlink ref="B180" r:id="rId113"/>
    <hyperlink ref="B181" r:id="rId114"/>
    <hyperlink ref="B25" r:id="rId115"/>
    <hyperlink ref="B35" r:id="rId116"/>
    <hyperlink ref="B37" r:id="rId117"/>
    <hyperlink ref="B62" r:id="rId118"/>
    <hyperlink ref="B63" r:id="rId119"/>
    <hyperlink ref="B64" r:id="rId120"/>
    <hyperlink ref="B65" r:id="rId121"/>
    <hyperlink ref="B77" r:id="rId122"/>
    <hyperlink ref="B78" r:id="rId123"/>
    <hyperlink ref="B122" r:id="rId124"/>
    <hyperlink ref="B123" r:id="rId125"/>
    <hyperlink ref="B124" r:id="rId126"/>
    <hyperlink ref="B132" r:id="rId127"/>
    <hyperlink ref="B133" r:id="rId128"/>
    <hyperlink ref="B134" r:id="rId129"/>
    <hyperlink ref="B135" r:id="rId130"/>
    <hyperlink ref="B137" r:id="rId131"/>
    <hyperlink ref="B139" r:id="rId132"/>
    <hyperlink ref="B149" r:id="rId133"/>
    <hyperlink ref="B151" r:id="rId134"/>
    <hyperlink ref="B153" r:id="rId135"/>
    <hyperlink ref="B155" r:id="rId136"/>
    <hyperlink ref="B156" r:id="rId137"/>
    <hyperlink ref="B157" r:id="rId138"/>
    <hyperlink ref="B224" r:id="rId139"/>
    <hyperlink ref="B213" r:id="rId140"/>
    <hyperlink ref="B214" r:id="rId141"/>
    <hyperlink ref="B215" r:id="rId142"/>
    <hyperlink ref="B216" r:id="rId143"/>
    <hyperlink ref="B217" r:id="rId144"/>
    <hyperlink ref="B218" r:id="rId145"/>
    <hyperlink ref="B219" r:id="rId146"/>
    <hyperlink ref="B220" r:id="rId147"/>
    <hyperlink ref="B52" r:id="rId148"/>
    <hyperlink ref="B53" r:id="rId149"/>
    <hyperlink ref="B54" r:id="rId150"/>
    <hyperlink ref="B55" r:id="rId151"/>
    <hyperlink ref="B56" r:id="rId152"/>
    <hyperlink ref="B99" r:id="rId153"/>
    <hyperlink ref="B100" r:id="rId154"/>
    <hyperlink ref="B101" r:id="rId155"/>
    <hyperlink ref="B102" r:id="rId156"/>
    <hyperlink ref="B103" r:id="rId157"/>
    <hyperlink ref="B104" r:id="rId158"/>
    <hyperlink ref="B105" r:id="rId159"/>
    <hyperlink ref="B106" r:id="rId160"/>
  </hyperlinks>
  <pageMargins left="0.7" right="0.7" top="0.75" bottom="0.75" header="0.3" footer="0.3"/>
  <pageSetup paperSize="9" orientation="portrait" r:id="rId161"/>
  <drawing r:id="rId16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6"/>
  <sheetViews>
    <sheetView zoomScale="90" zoomScaleNormal="90" workbookViewId="0">
      <selection activeCell="F7" sqref="F7"/>
    </sheetView>
  </sheetViews>
  <sheetFormatPr defaultRowHeight="13.5" x14ac:dyDescent="0.25"/>
  <cols>
    <col min="1" max="1" width="23.28515625" style="1" customWidth="1"/>
    <col min="2" max="2" width="15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1638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5"/>
      <c r="B2" s="3" t="s">
        <v>2</v>
      </c>
      <c r="C2" s="4" t="s">
        <v>48</v>
      </c>
      <c r="D2" s="4" t="s">
        <v>49</v>
      </c>
      <c r="E2" s="3" t="s">
        <v>9</v>
      </c>
      <c r="F2" s="3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20.100000000000001" customHeight="1" x14ac:dyDescent="0.25">
      <c r="A3" s="124"/>
      <c r="B3" s="20" t="s">
        <v>224</v>
      </c>
      <c r="C3" s="21" t="s">
        <v>51</v>
      </c>
      <c r="D3" s="21" t="s">
        <v>54</v>
      </c>
      <c r="E3" s="21" t="s">
        <v>134</v>
      </c>
      <c r="F3" s="21" t="s">
        <v>15</v>
      </c>
      <c r="G3" s="5" t="s">
        <v>237</v>
      </c>
      <c r="H3" s="9">
        <f>CEILING(398*USD,10)</f>
        <v>25730</v>
      </c>
      <c r="I3" s="8">
        <v>0.2</v>
      </c>
      <c r="J3" s="9">
        <f>CEILING(H3*0.8,10)</f>
        <v>20590</v>
      </c>
    </row>
    <row r="4" spans="1:10" ht="20.100000000000001" customHeight="1" x14ac:dyDescent="0.25">
      <c r="A4" s="124"/>
      <c r="B4" s="20" t="s">
        <v>225</v>
      </c>
      <c r="C4" s="21" t="s">
        <v>232</v>
      </c>
      <c r="D4" s="21" t="s">
        <v>219</v>
      </c>
      <c r="E4" s="21" t="s">
        <v>134</v>
      </c>
      <c r="F4" s="21" t="s">
        <v>15</v>
      </c>
      <c r="G4" s="5" t="s">
        <v>237</v>
      </c>
      <c r="H4" s="9">
        <f>CEILING(337*USD,10)</f>
        <v>21790</v>
      </c>
      <c r="I4" s="8">
        <v>0.2</v>
      </c>
      <c r="J4" s="9">
        <f t="shared" ref="J4:J10" si="0">CEILING(H4*0.8,10)</f>
        <v>17440</v>
      </c>
    </row>
    <row r="5" spans="1:10" ht="20.100000000000001" customHeight="1" x14ac:dyDescent="0.25">
      <c r="A5" s="124"/>
      <c r="B5" s="20" t="s">
        <v>226</v>
      </c>
      <c r="C5" s="21" t="s">
        <v>233</v>
      </c>
      <c r="D5" s="21" t="s">
        <v>55</v>
      </c>
      <c r="E5" s="21" t="s">
        <v>236</v>
      </c>
      <c r="F5" s="21" t="s">
        <v>15</v>
      </c>
      <c r="G5" s="5" t="s">
        <v>237</v>
      </c>
      <c r="H5" s="9">
        <f>CEILING(337*USD,10)</f>
        <v>21790</v>
      </c>
      <c r="I5" s="8">
        <v>0.2</v>
      </c>
      <c r="J5" s="9">
        <f t="shared" si="0"/>
        <v>17440</v>
      </c>
    </row>
    <row r="6" spans="1:10" ht="20.100000000000001" customHeight="1" x14ac:dyDescent="0.25">
      <c r="A6" s="124"/>
      <c r="B6" s="20" t="s">
        <v>227</v>
      </c>
      <c r="C6" s="21" t="s">
        <v>234</v>
      </c>
      <c r="D6" s="21" t="s">
        <v>55</v>
      </c>
      <c r="E6" s="21" t="s">
        <v>134</v>
      </c>
      <c r="F6" s="21" t="s">
        <v>15</v>
      </c>
      <c r="G6" s="5" t="s">
        <v>237</v>
      </c>
      <c r="H6" s="9">
        <f>CEILING(357*USD,10)</f>
        <v>23080</v>
      </c>
      <c r="I6" s="8">
        <v>0.2</v>
      </c>
      <c r="J6" s="9">
        <f t="shared" si="0"/>
        <v>18470</v>
      </c>
    </row>
    <row r="7" spans="1:10" ht="20.100000000000001" customHeight="1" x14ac:dyDescent="0.25">
      <c r="A7" s="124"/>
      <c r="B7" s="20" t="s">
        <v>228</v>
      </c>
      <c r="C7" s="21" t="s">
        <v>234</v>
      </c>
      <c r="D7" s="21" t="s">
        <v>220</v>
      </c>
      <c r="E7" s="21" t="s">
        <v>134</v>
      </c>
      <c r="F7" s="21" t="s">
        <v>15</v>
      </c>
      <c r="G7" s="5" t="s">
        <v>237</v>
      </c>
      <c r="H7" s="9">
        <f>CEILING(337*USD,10)</f>
        <v>21790</v>
      </c>
      <c r="I7" s="8">
        <v>0.2</v>
      </c>
      <c r="J7" s="9">
        <f t="shared" si="0"/>
        <v>17440</v>
      </c>
    </row>
    <row r="8" spans="1:10" ht="20.100000000000001" customHeight="1" x14ac:dyDescent="0.25">
      <c r="A8" s="124"/>
      <c r="B8" s="20" t="s">
        <v>229</v>
      </c>
      <c r="C8" s="21" t="s">
        <v>62</v>
      </c>
      <c r="D8" s="21" t="s">
        <v>55</v>
      </c>
      <c r="E8" s="21" t="s">
        <v>134</v>
      </c>
      <c r="F8" s="21" t="s">
        <v>15</v>
      </c>
      <c r="G8" s="5" t="s">
        <v>237</v>
      </c>
      <c r="H8" s="9">
        <f>CEILING(388*USD,10)</f>
        <v>25090</v>
      </c>
      <c r="I8" s="8">
        <v>0.2</v>
      </c>
      <c r="J8" s="9">
        <f t="shared" si="0"/>
        <v>20080</v>
      </c>
    </row>
    <row r="9" spans="1:10" ht="20.100000000000001" customHeight="1" x14ac:dyDescent="0.25">
      <c r="A9" s="124"/>
      <c r="B9" s="20" t="s">
        <v>230</v>
      </c>
      <c r="C9" s="21" t="s">
        <v>186</v>
      </c>
      <c r="D9" s="21" t="s">
        <v>221</v>
      </c>
      <c r="E9" s="21" t="s">
        <v>134</v>
      </c>
      <c r="F9" s="21" t="s">
        <v>15</v>
      </c>
      <c r="G9" s="5" t="s">
        <v>237</v>
      </c>
      <c r="H9" s="9">
        <f>CEILING(337*USD,10)</f>
        <v>21790</v>
      </c>
      <c r="I9" s="8">
        <v>0.2</v>
      </c>
      <c r="J9" s="9">
        <f t="shared" si="0"/>
        <v>17440</v>
      </c>
    </row>
    <row r="10" spans="1:10" ht="20.100000000000001" customHeight="1" x14ac:dyDescent="0.25">
      <c r="A10" s="124"/>
      <c r="B10" s="20" t="s">
        <v>231</v>
      </c>
      <c r="C10" s="21" t="s">
        <v>235</v>
      </c>
      <c r="D10" s="21" t="s">
        <v>56</v>
      </c>
      <c r="E10" s="21" t="s">
        <v>236</v>
      </c>
      <c r="F10" s="21" t="s">
        <v>15</v>
      </c>
      <c r="G10" s="5" t="s">
        <v>237</v>
      </c>
      <c r="H10" s="9">
        <f>CEILING(337*USD,10)</f>
        <v>21790</v>
      </c>
      <c r="I10" s="8">
        <v>0.2</v>
      </c>
      <c r="J10" s="9">
        <f t="shared" si="0"/>
        <v>17440</v>
      </c>
    </row>
    <row r="11" spans="1:10" ht="20.100000000000001" customHeight="1" x14ac:dyDescent="0.25">
      <c r="A11" s="143"/>
      <c r="B11" s="143"/>
      <c r="C11" s="143"/>
      <c r="D11" s="143"/>
      <c r="E11" s="143"/>
      <c r="F11" s="143"/>
      <c r="G11" s="143"/>
      <c r="H11" s="143"/>
      <c r="I11" s="143"/>
      <c r="J11" s="143"/>
    </row>
    <row r="12" spans="1:10" ht="39.950000000000003" customHeight="1" x14ac:dyDescent="0.25">
      <c r="A12" s="117" t="s">
        <v>1639</v>
      </c>
      <c r="B12" s="118"/>
      <c r="C12" s="118"/>
      <c r="D12" s="118"/>
      <c r="E12" s="118"/>
      <c r="F12" s="118"/>
      <c r="G12" s="118"/>
      <c r="H12" s="118"/>
      <c r="I12" s="118"/>
      <c r="J12" s="118"/>
    </row>
    <row r="13" spans="1:10" ht="30" customHeight="1" x14ac:dyDescent="0.25">
      <c r="A13" s="5"/>
      <c r="B13" s="3" t="s">
        <v>2</v>
      </c>
      <c r="C13" s="4" t="s">
        <v>48</v>
      </c>
      <c r="D13" s="4" t="s">
        <v>49</v>
      </c>
      <c r="E13" s="3" t="s">
        <v>9</v>
      </c>
      <c r="F13" s="3" t="s">
        <v>10</v>
      </c>
      <c r="G13" s="4" t="s">
        <v>11</v>
      </c>
      <c r="H13" s="4" t="s">
        <v>17</v>
      </c>
      <c r="I13" s="4" t="s">
        <v>12</v>
      </c>
      <c r="J13" s="4" t="s">
        <v>18</v>
      </c>
    </row>
    <row r="14" spans="1:10" ht="39.950000000000003" customHeight="1" x14ac:dyDescent="0.25">
      <c r="A14" s="124"/>
      <c r="B14" s="20" t="s">
        <v>238</v>
      </c>
      <c r="C14" s="21" t="s">
        <v>241</v>
      </c>
      <c r="D14" s="21" t="s">
        <v>243</v>
      </c>
      <c r="E14" s="21" t="s">
        <v>222</v>
      </c>
      <c r="F14" s="5" t="s">
        <v>13</v>
      </c>
      <c r="G14" s="5" t="s">
        <v>245</v>
      </c>
      <c r="H14" s="9">
        <f>CEILING(82*USD,10)</f>
        <v>5310</v>
      </c>
      <c r="I14" s="8">
        <v>0.2</v>
      </c>
      <c r="J14" s="9">
        <f>CEILING(H14*0.8,10)</f>
        <v>4250</v>
      </c>
    </row>
    <row r="15" spans="1:10" ht="39.950000000000003" customHeight="1" x14ac:dyDescent="0.25">
      <c r="A15" s="124"/>
      <c r="B15" s="20" t="s">
        <v>239</v>
      </c>
      <c r="C15" s="21" t="s">
        <v>182</v>
      </c>
      <c r="D15" s="21" t="s">
        <v>57</v>
      </c>
      <c r="E15" s="21" t="s">
        <v>222</v>
      </c>
      <c r="F15" s="5" t="s">
        <v>13</v>
      </c>
      <c r="G15" s="5" t="s">
        <v>245</v>
      </c>
      <c r="H15" s="9">
        <f>CEILING(82*USD,10)</f>
        <v>5310</v>
      </c>
      <c r="I15" s="8">
        <v>0.2</v>
      </c>
      <c r="J15" s="9">
        <f>CEILING(H15*0.8,10)</f>
        <v>4250</v>
      </c>
    </row>
    <row r="16" spans="1:10" ht="39.950000000000003" customHeight="1" x14ac:dyDescent="0.25">
      <c r="A16" s="124"/>
      <c r="B16" s="20" t="s">
        <v>240</v>
      </c>
      <c r="C16" s="21" t="s">
        <v>242</v>
      </c>
      <c r="D16" s="21" t="s">
        <v>244</v>
      </c>
      <c r="E16" s="21" t="s">
        <v>222</v>
      </c>
      <c r="F16" s="5" t="s">
        <v>13</v>
      </c>
      <c r="G16" s="5" t="s">
        <v>245</v>
      </c>
      <c r="H16" s="9">
        <f>CEILING(82*USD,10)</f>
        <v>5310</v>
      </c>
      <c r="I16" s="8">
        <v>0.2</v>
      </c>
      <c r="J16" s="9">
        <f>CEILING(H16*0.8,10)</f>
        <v>4250</v>
      </c>
    </row>
  </sheetData>
  <mergeCells count="5">
    <mergeCell ref="A12:J12"/>
    <mergeCell ref="A14:A16"/>
    <mergeCell ref="A11:J11"/>
    <mergeCell ref="A1:J1"/>
    <mergeCell ref="A3:A10"/>
  </mergeCells>
  <hyperlinks>
    <hyperlink ref="B10" r:id="rId1"/>
    <hyperlink ref="B4" r:id="rId2"/>
    <hyperlink ref="B5" r:id="rId3"/>
    <hyperlink ref="B9" r:id="rId4"/>
    <hyperlink ref="B7" r:id="rId5"/>
    <hyperlink ref="B6" r:id="rId6"/>
    <hyperlink ref="B8" r:id="rId7"/>
    <hyperlink ref="B3" r:id="rId8"/>
    <hyperlink ref="B14" r:id="rId9"/>
    <hyperlink ref="B15" r:id="rId10"/>
    <hyperlink ref="B16" r:id="rId11"/>
  </hyperlinks>
  <pageMargins left="0.7" right="0.7" top="0.75" bottom="0.75" header="0.3" footer="0.3"/>
  <drawing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27"/>
  <sheetViews>
    <sheetView topLeftCell="A37" zoomScale="90" zoomScaleNormal="90" workbookViewId="0">
      <selection activeCell="H4" sqref="H4"/>
    </sheetView>
  </sheetViews>
  <sheetFormatPr defaultRowHeight="13.5" x14ac:dyDescent="0.25"/>
  <cols>
    <col min="1" max="1" width="23.28515625" style="1" customWidth="1"/>
    <col min="2" max="2" width="15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1811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5"/>
      <c r="B2" s="3" t="s">
        <v>2</v>
      </c>
      <c r="C2" s="4" t="s">
        <v>48</v>
      </c>
      <c r="D2" s="4" t="s">
        <v>49</v>
      </c>
      <c r="E2" s="3" t="s">
        <v>9</v>
      </c>
      <c r="F2" s="3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39.950000000000003" customHeight="1" x14ac:dyDescent="0.25">
      <c r="A3" s="124"/>
      <c r="B3" s="20" t="s">
        <v>246</v>
      </c>
      <c r="C3" s="21" t="s">
        <v>241</v>
      </c>
      <c r="D3" s="21" t="s">
        <v>55</v>
      </c>
      <c r="E3" s="21" t="s">
        <v>1016</v>
      </c>
      <c r="F3" s="21" t="s">
        <v>13</v>
      </c>
      <c r="G3" s="5" t="s">
        <v>252</v>
      </c>
      <c r="H3" s="9">
        <f>CEILING(296*USD,10)</f>
        <v>19140</v>
      </c>
      <c r="I3" s="8">
        <v>0.2</v>
      </c>
      <c r="J3" s="9">
        <f t="shared" ref="J3:J8" si="0">CEILING(H3*0.8,10)</f>
        <v>15320</v>
      </c>
    </row>
    <row r="4" spans="1:10" ht="39.950000000000003" customHeight="1" x14ac:dyDescent="0.25">
      <c r="A4" s="124"/>
      <c r="B4" s="20" t="s">
        <v>247</v>
      </c>
      <c r="C4" s="21" t="s">
        <v>233</v>
      </c>
      <c r="D4" s="21" t="s">
        <v>55</v>
      </c>
      <c r="E4" s="21" t="s">
        <v>1016</v>
      </c>
      <c r="F4" s="21" t="s">
        <v>13</v>
      </c>
      <c r="G4" s="5" t="s">
        <v>252</v>
      </c>
      <c r="H4" s="9">
        <f>CEILING(316*USD,10)</f>
        <v>20430</v>
      </c>
      <c r="I4" s="8">
        <v>0.2</v>
      </c>
      <c r="J4" s="9">
        <f t="shared" si="0"/>
        <v>16350</v>
      </c>
    </row>
    <row r="5" spans="1:10" ht="39.950000000000003" customHeight="1" x14ac:dyDescent="0.25">
      <c r="A5" s="124"/>
      <c r="B5" s="20" t="s">
        <v>248</v>
      </c>
      <c r="C5" s="21" t="s">
        <v>234</v>
      </c>
      <c r="D5" s="21" t="s">
        <v>220</v>
      </c>
      <c r="E5" s="21" t="s">
        <v>1016</v>
      </c>
      <c r="F5" s="21" t="s">
        <v>13</v>
      </c>
      <c r="G5" s="5" t="s">
        <v>252</v>
      </c>
      <c r="H5" s="9">
        <f>CEILING(316*USD,10)</f>
        <v>20430</v>
      </c>
      <c r="I5" s="8">
        <v>0.2</v>
      </c>
      <c r="J5" s="9">
        <f t="shared" si="0"/>
        <v>16350</v>
      </c>
    </row>
    <row r="6" spans="1:10" ht="39.950000000000003" customHeight="1" x14ac:dyDescent="0.25">
      <c r="A6" s="124"/>
      <c r="B6" s="20" t="s">
        <v>249</v>
      </c>
      <c r="C6" s="21" t="s">
        <v>186</v>
      </c>
      <c r="D6" s="21" t="s">
        <v>221</v>
      </c>
      <c r="E6" s="21" t="s">
        <v>1016</v>
      </c>
      <c r="F6" s="21" t="s">
        <v>13</v>
      </c>
      <c r="G6" s="5" t="s">
        <v>253</v>
      </c>
      <c r="H6" s="9">
        <f>CEILING(316*USD,10)</f>
        <v>20430</v>
      </c>
      <c r="I6" s="8">
        <v>0.2</v>
      </c>
      <c r="J6" s="9">
        <f t="shared" si="0"/>
        <v>16350</v>
      </c>
    </row>
    <row r="7" spans="1:10" ht="39.950000000000003" customHeight="1" x14ac:dyDescent="0.25">
      <c r="A7" s="124"/>
      <c r="B7" s="20" t="s">
        <v>250</v>
      </c>
      <c r="C7" s="21" t="s">
        <v>182</v>
      </c>
      <c r="D7" s="21" t="s">
        <v>56</v>
      </c>
      <c r="E7" s="21" t="s">
        <v>1016</v>
      </c>
      <c r="F7" s="21" t="s">
        <v>13</v>
      </c>
      <c r="G7" s="5" t="s">
        <v>253</v>
      </c>
      <c r="H7" s="9">
        <f>CEILING(296*USD,10)</f>
        <v>19140</v>
      </c>
      <c r="I7" s="8">
        <v>0.2</v>
      </c>
      <c r="J7" s="9">
        <f t="shared" si="0"/>
        <v>15320</v>
      </c>
    </row>
    <row r="8" spans="1:10" ht="39.950000000000003" customHeight="1" x14ac:dyDescent="0.25">
      <c r="A8" s="124"/>
      <c r="B8" s="20" t="s">
        <v>251</v>
      </c>
      <c r="C8" s="21" t="s">
        <v>235</v>
      </c>
      <c r="D8" s="21" t="s">
        <v>56</v>
      </c>
      <c r="E8" s="21" t="s">
        <v>1016</v>
      </c>
      <c r="F8" s="21" t="s">
        <v>13</v>
      </c>
      <c r="G8" s="5" t="s">
        <v>253</v>
      </c>
      <c r="H8" s="9">
        <f>CEILING(316*USD,10)</f>
        <v>20430</v>
      </c>
      <c r="I8" s="8">
        <v>0.2</v>
      </c>
      <c r="J8" s="9">
        <f t="shared" si="0"/>
        <v>16350</v>
      </c>
    </row>
    <row r="9" spans="1:10" ht="20.100000000000001" customHeight="1" x14ac:dyDescent="0.25">
      <c r="A9" s="139" t="s">
        <v>74</v>
      </c>
      <c r="B9" s="139"/>
      <c r="C9" s="139"/>
      <c r="D9" s="139"/>
      <c r="E9" s="139"/>
      <c r="F9" s="139"/>
      <c r="G9" s="139"/>
      <c r="H9" s="139"/>
      <c r="I9" s="139"/>
      <c r="J9" s="139"/>
    </row>
    <row r="10" spans="1:10" ht="20.100000000000001" customHeight="1" x14ac:dyDescent="0.25">
      <c r="A10" s="135" t="s">
        <v>254</v>
      </c>
      <c r="B10" s="136"/>
      <c r="C10" s="136"/>
      <c r="D10" s="136"/>
      <c r="E10" s="136"/>
      <c r="F10" s="136"/>
      <c r="G10" s="137"/>
      <c r="H10" s="9">
        <f>CEILING(21*USD,10)</f>
        <v>1360</v>
      </c>
      <c r="I10" s="8">
        <v>0.1</v>
      </c>
      <c r="J10" s="9">
        <f>CEILING(H10*0.9,10)</f>
        <v>1230</v>
      </c>
    </row>
    <row r="11" spans="1:10" ht="20.100000000000001" customHeight="1" x14ac:dyDescent="0.25">
      <c r="A11" s="135" t="s">
        <v>255</v>
      </c>
      <c r="B11" s="136"/>
      <c r="C11" s="136"/>
      <c r="D11" s="136"/>
      <c r="E11" s="136"/>
      <c r="F11" s="136"/>
      <c r="G11" s="137"/>
      <c r="H11" s="9">
        <f>CEILING(2*USD,10)</f>
        <v>130</v>
      </c>
      <c r="I11" s="8">
        <v>0</v>
      </c>
      <c r="J11" s="9">
        <f>CEILING(H11*1,10)</f>
        <v>130</v>
      </c>
    </row>
    <row r="12" spans="1:10" ht="20.100000000000001" customHeight="1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</row>
    <row r="13" spans="1:10" ht="39.950000000000003" customHeight="1" x14ac:dyDescent="0.25">
      <c r="A13" s="117" t="s">
        <v>1812</v>
      </c>
      <c r="B13" s="118"/>
      <c r="C13" s="118"/>
      <c r="D13" s="118"/>
      <c r="E13" s="118"/>
      <c r="F13" s="118"/>
      <c r="G13" s="118"/>
      <c r="H13" s="118"/>
      <c r="I13" s="118"/>
      <c r="J13" s="118"/>
    </row>
    <row r="14" spans="1:10" ht="30" customHeight="1" x14ac:dyDescent="0.25">
      <c r="A14" s="5"/>
      <c r="B14" s="3" t="s">
        <v>2</v>
      </c>
      <c r="C14" s="4" t="s">
        <v>48</v>
      </c>
      <c r="D14" s="4" t="s">
        <v>49</v>
      </c>
      <c r="E14" s="3" t="s">
        <v>9</v>
      </c>
      <c r="F14" s="3" t="s">
        <v>10</v>
      </c>
      <c r="G14" s="4" t="s">
        <v>11</v>
      </c>
      <c r="H14" s="4" t="s">
        <v>17</v>
      </c>
      <c r="I14" s="4" t="s">
        <v>12</v>
      </c>
      <c r="J14" s="4" t="s">
        <v>18</v>
      </c>
    </row>
    <row r="15" spans="1:10" ht="60" customHeight="1" x14ac:dyDescent="0.25">
      <c r="A15" s="124"/>
      <c r="B15" s="20" t="s">
        <v>256</v>
      </c>
      <c r="C15" s="21" t="s">
        <v>241</v>
      </c>
      <c r="D15" s="21" t="s">
        <v>220</v>
      </c>
      <c r="E15" s="21" t="s">
        <v>1016</v>
      </c>
      <c r="F15" s="21" t="s">
        <v>13</v>
      </c>
      <c r="G15" s="5" t="s">
        <v>252</v>
      </c>
      <c r="H15" s="9">
        <f>CEILING(347*USD,10)</f>
        <v>22440</v>
      </c>
      <c r="I15" s="8">
        <v>0.2</v>
      </c>
      <c r="J15" s="9">
        <f>CEILING(H15*0.8,10)</f>
        <v>17960</v>
      </c>
    </row>
    <row r="16" spans="1:10" ht="60" customHeight="1" x14ac:dyDescent="0.25">
      <c r="A16" s="124"/>
      <c r="B16" s="20" t="s">
        <v>257</v>
      </c>
      <c r="C16" s="21" t="s">
        <v>260</v>
      </c>
      <c r="D16" s="21" t="s">
        <v>221</v>
      </c>
      <c r="E16" s="21" t="s">
        <v>1016</v>
      </c>
      <c r="F16" s="21" t="s">
        <v>13</v>
      </c>
      <c r="G16" s="5" t="s">
        <v>252</v>
      </c>
      <c r="H16" s="9">
        <f>CEILING(347*USD,10)</f>
        <v>22440</v>
      </c>
      <c r="I16" s="8">
        <v>0.2</v>
      </c>
      <c r="J16" s="9">
        <f>CEILING(H16*0.8,10)</f>
        <v>17960</v>
      </c>
    </row>
    <row r="17" spans="1:10" ht="60" customHeight="1" x14ac:dyDescent="0.25">
      <c r="A17" s="124"/>
      <c r="B17" s="20" t="s">
        <v>258</v>
      </c>
      <c r="C17" s="21" t="s">
        <v>62</v>
      </c>
      <c r="D17" s="21" t="s">
        <v>56</v>
      </c>
      <c r="E17" s="21" t="s">
        <v>1016</v>
      </c>
      <c r="F17" s="21" t="s">
        <v>13</v>
      </c>
      <c r="G17" s="5" t="s">
        <v>253</v>
      </c>
      <c r="H17" s="9">
        <f>CEILING(347*USD,10)</f>
        <v>22440</v>
      </c>
      <c r="I17" s="8">
        <v>0.2</v>
      </c>
      <c r="J17" s="9">
        <f>CEILING(H17*0.8,10)</f>
        <v>17960</v>
      </c>
    </row>
    <row r="18" spans="1:10" ht="60" customHeight="1" x14ac:dyDescent="0.25">
      <c r="A18" s="124"/>
      <c r="B18" s="20" t="s">
        <v>259</v>
      </c>
      <c r="C18" s="21" t="s">
        <v>182</v>
      </c>
      <c r="D18" s="21" t="s">
        <v>261</v>
      </c>
      <c r="E18" s="21" t="s">
        <v>1016</v>
      </c>
      <c r="F18" s="21" t="s">
        <v>13</v>
      </c>
      <c r="G18" s="5" t="s">
        <v>253</v>
      </c>
      <c r="H18" s="9">
        <f>CEILING(347*USD,10)</f>
        <v>22440</v>
      </c>
      <c r="I18" s="8">
        <v>0.2</v>
      </c>
      <c r="J18" s="9">
        <f>CEILING(H18*0.8,10)</f>
        <v>17960</v>
      </c>
    </row>
    <row r="19" spans="1:10" ht="20.100000000000001" customHeight="1" x14ac:dyDescent="0.25">
      <c r="A19" s="139" t="s">
        <v>74</v>
      </c>
      <c r="B19" s="139"/>
      <c r="C19" s="139"/>
      <c r="D19" s="139"/>
      <c r="E19" s="139"/>
      <c r="F19" s="139"/>
      <c r="G19" s="139"/>
      <c r="H19" s="139"/>
      <c r="I19" s="139"/>
      <c r="J19" s="139"/>
    </row>
    <row r="20" spans="1:10" ht="20.100000000000001" customHeight="1" x14ac:dyDescent="0.25">
      <c r="A20" s="135" t="s">
        <v>254</v>
      </c>
      <c r="B20" s="136"/>
      <c r="C20" s="136"/>
      <c r="D20" s="136"/>
      <c r="E20" s="136"/>
      <c r="F20" s="136"/>
      <c r="G20" s="137"/>
      <c r="H20" s="9">
        <f>CEILING(21*USD,10)</f>
        <v>1360</v>
      </c>
      <c r="I20" s="8">
        <v>0.1</v>
      </c>
      <c r="J20" s="9">
        <f>CEILING(H20*0.9,10)</f>
        <v>1230</v>
      </c>
    </row>
    <row r="21" spans="1:10" ht="20.100000000000001" customHeight="1" x14ac:dyDescent="0.25">
      <c r="A21" s="131"/>
      <c r="B21" s="131"/>
      <c r="C21" s="131"/>
      <c r="D21" s="131"/>
      <c r="E21" s="131"/>
      <c r="F21" s="131"/>
      <c r="G21" s="131"/>
      <c r="H21" s="131"/>
      <c r="I21" s="131"/>
      <c r="J21" s="131"/>
    </row>
    <row r="22" spans="1:10" ht="30" customHeight="1" x14ac:dyDescent="0.25">
      <c r="A22" s="118" t="s">
        <v>1640</v>
      </c>
      <c r="B22" s="118"/>
      <c r="C22" s="118"/>
      <c r="D22" s="118"/>
      <c r="E22" s="118"/>
      <c r="F22" s="118"/>
      <c r="G22" s="118"/>
      <c r="H22" s="118"/>
      <c r="I22" s="118"/>
      <c r="J22" s="118"/>
    </row>
    <row r="23" spans="1:10" ht="30" customHeight="1" x14ac:dyDescent="0.25">
      <c r="A23" s="5"/>
      <c r="B23" s="3" t="s">
        <v>2</v>
      </c>
      <c r="C23" s="4" t="s">
        <v>48</v>
      </c>
      <c r="D23" s="4" t="s">
        <v>49</v>
      </c>
      <c r="E23" s="3" t="s">
        <v>9</v>
      </c>
      <c r="F23" s="3" t="s">
        <v>10</v>
      </c>
      <c r="G23" s="4" t="s">
        <v>11</v>
      </c>
      <c r="H23" s="4" t="s">
        <v>17</v>
      </c>
      <c r="I23" s="4" t="s">
        <v>12</v>
      </c>
      <c r="J23" s="4" t="s">
        <v>18</v>
      </c>
    </row>
    <row r="24" spans="1:10" ht="30" customHeight="1" x14ac:dyDescent="0.25">
      <c r="A24" s="124"/>
      <c r="B24" s="28" t="s">
        <v>274</v>
      </c>
      <c r="C24" s="21" t="s">
        <v>269</v>
      </c>
      <c r="D24" s="21" t="s">
        <v>271</v>
      </c>
      <c r="E24" s="21" t="s">
        <v>223</v>
      </c>
      <c r="F24" s="21" t="s">
        <v>13</v>
      </c>
      <c r="G24" s="5" t="s">
        <v>272</v>
      </c>
      <c r="H24" s="9">
        <f>CEILING(337*USD,10)</f>
        <v>21790</v>
      </c>
      <c r="I24" s="8">
        <v>0.2</v>
      </c>
      <c r="J24" s="9">
        <f>CEILING(H24*0.8,10)</f>
        <v>17440</v>
      </c>
    </row>
    <row r="25" spans="1:10" ht="30" customHeight="1" x14ac:dyDescent="0.25">
      <c r="A25" s="124"/>
      <c r="B25" s="28" t="s">
        <v>275</v>
      </c>
      <c r="C25" s="21" t="s">
        <v>270</v>
      </c>
      <c r="D25" s="21" t="s">
        <v>57</v>
      </c>
      <c r="E25" s="21" t="s">
        <v>223</v>
      </c>
      <c r="F25" s="21" t="s">
        <v>13</v>
      </c>
      <c r="G25" s="5" t="s">
        <v>272</v>
      </c>
      <c r="H25" s="9">
        <f>CEILING(337*USD,10)</f>
        <v>21790</v>
      </c>
      <c r="I25" s="8">
        <v>0.2</v>
      </c>
      <c r="J25" s="9">
        <f>CEILING(H25*0.8,10)</f>
        <v>17440</v>
      </c>
    </row>
    <row r="26" spans="1:10" ht="30" customHeight="1" x14ac:dyDescent="0.25">
      <c r="A26" s="124"/>
      <c r="B26" s="28" t="s">
        <v>276</v>
      </c>
      <c r="C26" s="21" t="s">
        <v>69</v>
      </c>
      <c r="D26" s="21" t="s">
        <v>244</v>
      </c>
      <c r="E26" s="21" t="s">
        <v>223</v>
      </c>
      <c r="F26" s="21" t="s">
        <v>13</v>
      </c>
      <c r="G26" s="5" t="s">
        <v>272</v>
      </c>
      <c r="H26" s="9">
        <f>CEILING(337*USD,10)</f>
        <v>21790</v>
      </c>
      <c r="I26" s="8">
        <v>0.2</v>
      </c>
      <c r="J26" s="9">
        <f>CEILING(H26*0.8,10)</f>
        <v>17440</v>
      </c>
    </row>
    <row r="27" spans="1:10" ht="30" customHeight="1" x14ac:dyDescent="0.25">
      <c r="A27" s="124"/>
      <c r="B27" s="28" t="s">
        <v>277</v>
      </c>
      <c r="C27" s="21" t="s">
        <v>184</v>
      </c>
      <c r="D27" s="21" t="s">
        <v>187</v>
      </c>
      <c r="E27" s="21" t="s">
        <v>223</v>
      </c>
      <c r="F27" s="21" t="s">
        <v>13</v>
      </c>
      <c r="G27" s="5" t="s">
        <v>272</v>
      </c>
      <c r="H27" s="9">
        <f>CEILING(337*USD,10)</f>
        <v>21790</v>
      </c>
      <c r="I27" s="8">
        <v>0.2</v>
      </c>
      <c r="J27" s="9">
        <f>CEILING(H27*0.8,10)</f>
        <v>17440</v>
      </c>
    </row>
  </sheetData>
  <mergeCells count="13">
    <mergeCell ref="A1:J1"/>
    <mergeCell ref="A3:A8"/>
    <mergeCell ref="A9:J9"/>
    <mergeCell ref="A10:G10"/>
    <mergeCell ref="A11:G11"/>
    <mergeCell ref="A24:A27"/>
    <mergeCell ref="A21:J21"/>
    <mergeCell ref="A20:G20"/>
    <mergeCell ref="A12:J12"/>
    <mergeCell ref="A13:J13"/>
    <mergeCell ref="A15:A18"/>
    <mergeCell ref="A19:J19"/>
    <mergeCell ref="A22:J22"/>
  </mergeCells>
  <hyperlinks>
    <hyperlink ref="B3" r:id="rId1"/>
    <hyperlink ref="B7" r:id="rId2"/>
    <hyperlink ref="B4" r:id="rId3"/>
    <hyperlink ref="B5" r:id="rId4"/>
    <hyperlink ref="B6" r:id="rId5"/>
    <hyperlink ref="B8" r:id="rId6"/>
    <hyperlink ref="B15" r:id="rId7"/>
    <hyperlink ref="B16" r:id="rId8"/>
    <hyperlink ref="B17" r:id="rId9"/>
    <hyperlink ref="B18" r:id="rId10"/>
  </hyperlinks>
  <pageMargins left="0.7" right="0.7" top="0.75" bottom="0.75" header="0.3" footer="0.3"/>
  <pageSetup paperSize="9" orientation="portrait" r:id="rId11"/>
  <drawing r:id="rId1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opLeftCell="A13" zoomScale="90" zoomScaleNormal="90" workbookViewId="0">
      <selection activeCell="H15" sqref="H15"/>
    </sheetView>
  </sheetViews>
  <sheetFormatPr defaultRowHeight="13.5" x14ac:dyDescent="0.25"/>
  <cols>
    <col min="1" max="1" width="23.28515625" style="1" customWidth="1"/>
    <col min="2" max="2" width="21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3" ht="60" customHeight="1" x14ac:dyDescent="0.25">
      <c r="A1" s="117" t="s">
        <v>1795</v>
      </c>
      <c r="B1" s="118"/>
      <c r="C1" s="118"/>
      <c r="D1" s="118"/>
      <c r="E1" s="118"/>
      <c r="F1" s="118"/>
      <c r="G1" s="118"/>
      <c r="H1" s="118"/>
      <c r="I1" s="118"/>
      <c r="J1" s="118"/>
      <c r="L1" s="2"/>
      <c r="M1" s="2"/>
    </row>
    <row r="2" spans="1:13" ht="30" customHeight="1" x14ac:dyDescent="0.25">
      <c r="A2" s="40"/>
      <c r="B2" s="39" t="s">
        <v>2</v>
      </c>
      <c r="C2" s="4" t="s">
        <v>48</v>
      </c>
      <c r="D2" s="4" t="s">
        <v>49</v>
      </c>
      <c r="E2" s="39" t="s">
        <v>9</v>
      </c>
      <c r="F2" s="39" t="s">
        <v>10</v>
      </c>
      <c r="G2" s="4" t="s">
        <v>11</v>
      </c>
      <c r="H2" s="4" t="s">
        <v>17</v>
      </c>
      <c r="I2" s="4" t="s">
        <v>12</v>
      </c>
      <c r="J2" s="4" t="s">
        <v>18</v>
      </c>
      <c r="L2" s="2"/>
      <c r="M2" s="2"/>
    </row>
    <row r="3" spans="1:13" ht="120" customHeight="1" x14ac:dyDescent="0.25">
      <c r="A3" s="29"/>
      <c r="B3" s="6" t="s">
        <v>987</v>
      </c>
      <c r="C3" s="40" t="s">
        <v>667</v>
      </c>
      <c r="D3" s="40" t="s">
        <v>989</v>
      </c>
      <c r="E3" s="40" t="s">
        <v>1058</v>
      </c>
      <c r="F3" s="40" t="s">
        <v>13</v>
      </c>
      <c r="G3" s="40" t="s">
        <v>16</v>
      </c>
      <c r="H3" s="7">
        <v>170000</v>
      </c>
      <c r="I3" s="8">
        <v>0.1</v>
      </c>
      <c r="J3" s="9">
        <f>CEILING(H3*0.9,10)</f>
        <v>153000</v>
      </c>
      <c r="L3" s="2"/>
      <c r="M3" s="2"/>
    </row>
    <row r="4" spans="1:13" ht="120" customHeight="1" x14ac:dyDescent="0.25">
      <c r="A4" s="29"/>
      <c r="B4" s="68" t="s">
        <v>988</v>
      </c>
      <c r="C4" s="69" t="s">
        <v>232</v>
      </c>
      <c r="D4" s="69" t="s">
        <v>989</v>
      </c>
      <c r="E4" s="69" t="s">
        <v>1058</v>
      </c>
      <c r="F4" s="69" t="s">
        <v>13</v>
      </c>
      <c r="G4" s="69" t="s">
        <v>16</v>
      </c>
      <c r="H4" s="70">
        <v>300000</v>
      </c>
      <c r="I4" s="71">
        <v>0.1</v>
      </c>
      <c r="J4" s="72">
        <f>CEILING(H4*0.9,10)</f>
        <v>270000</v>
      </c>
      <c r="L4" s="2"/>
      <c r="M4" s="2"/>
    </row>
    <row r="5" spans="1:13" ht="20.100000000000001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</row>
    <row r="6" spans="1:13" ht="39.950000000000003" customHeight="1" x14ac:dyDescent="0.25">
      <c r="A6" s="117" t="s">
        <v>1914</v>
      </c>
      <c r="B6" s="118"/>
      <c r="C6" s="118"/>
      <c r="D6" s="118"/>
      <c r="E6" s="118"/>
      <c r="F6" s="118"/>
      <c r="G6" s="118"/>
      <c r="H6" s="118"/>
      <c r="I6" s="118"/>
      <c r="J6" s="118"/>
    </row>
    <row r="7" spans="1:13" ht="30" customHeight="1" x14ac:dyDescent="0.25">
      <c r="A7" s="5"/>
      <c r="B7" s="3" t="s">
        <v>2</v>
      </c>
      <c r="C7" s="4" t="s">
        <v>48</v>
      </c>
      <c r="D7" s="3" t="s">
        <v>49</v>
      </c>
      <c r="E7" s="3" t="s">
        <v>9</v>
      </c>
      <c r="F7" s="3" t="s">
        <v>10</v>
      </c>
      <c r="G7" s="4" t="s">
        <v>11</v>
      </c>
      <c r="H7" s="4" t="s">
        <v>17</v>
      </c>
      <c r="I7" s="4" t="s">
        <v>12</v>
      </c>
      <c r="J7" s="4" t="s">
        <v>18</v>
      </c>
    </row>
    <row r="8" spans="1:13" ht="120" customHeight="1" x14ac:dyDescent="0.25">
      <c r="B8" s="68" t="s">
        <v>982</v>
      </c>
      <c r="C8" s="5" t="s">
        <v>52</v>
      </c>
      <c r="D8" s="5" t="s">
        <v>53</v>
      </c>
      <c r="E8" s="5" t="s">
        <v>14</v>
      </c>
      <c r="F8" s="5" t="s">
        <v>15</v>
      </c>
      <c r="G8" s="5" t="s">
        <v>16</v>
      </c>
      <c r="H8" s="9">
        <v>240000</v>
      </c>
      <c r="I8" s="8">
        <v>0.15</v>
      </c>
      <c r="J8" s="9">
        <f>CEILING(H8*0.85,10)</f>
        <v>204000</v>
      </c>
    </row>
    <row r="9" spans="1:13" ht="20.100000000000001" customHeight="1" x14ac:dyDescent="0.25">
      <c r="A9" s="143"/>
      <c r="B9" s="143"/>
      <c r="C9" s="143"/>
      <c r="D9" s="143"/>
      <c r="E9" s="143"/>
      <c r="F9" s="143"/>
      <c r="G9" s="143"/>
      <c r="H9" s="143"/>
      <c r="I9" s="143"/>
      <c r="J9" s="143"/>
    </row>
    <row r="10" spans="1:13" ht="30" customHeight="1" x14ac:dyDescent="0.25">
      <c r="A10" s="118" t="s">
        <v>1603</v>
      </c>
      <c r="B10" s="118"/>
      <c r="C10" s="118"/>
      <c r="D10" s="118"/>
      <c r="E10" s="118"/>
      <c r="F10" s="118"/>
      <c r="G10" s="118"/>
      <c r="H10" s="118"/>
      <c r="I10" s="118"/>
      <c r="J10" s="118"/>
    </row>
    <row r="11" spans="1:13" ht="30" customHeight="1" x14ac:dyDescent="0.25">
      <c r="A11" s="5"/>
      <c r="B11" s="3" t="s">
        <v>2</v>
      </c>
      <c r="C11" s="4" t="s">
        <v>48</v>
      </c>
      <c r="D11" s="4" t="s">
        <v>49</v>
      </c>
      <c r="E11" s="3" t="s">
        <v>9</v>
      </c>
      <c r="F11" s="3" t="s">
        <v>10</v>
      </c>
      <c r="G11" s="4" t="s">
        <v>11</v>
      </c>
      <c r="H11" s="4" t="s">
        <v>17</v>
      </c>
      <c r="I11" s="4" t="s">
        <v>12</v>
      </c>
      <c r="J11" s="4" t="s">
        <v>18</v>
      </c>
    </row>
    <row r="12" spans="1:13" ht="60" customHeight="1" x14ac:dyDescent="0.25">
      <c r="A12" s="124"/>
      <c r="B12" s="75" t="s">
        <v>983</v>
      </c>
      <c r="C12" s="10" t="s">
        <v>59</v>
      </c>
      <c r="D12" s="10" t="s">
        <v>54</v>
      </c>
      <c r="E12" s="21" t="s">
        <v>31</v>
      </c>
      <c r="F12" s="10" t="s">
        <v>15</v>
      </c>
      <c r="G12" s="15" t="s">
        <v>345</v>
      </c>
      <c r="H12" s="25">
        <v>99000</v>
      </c>
      <c r="I12" s="62">
        <v>0.15</v>
      </c>
      <c r="J12" s="25">
        <f>CEILING(H12*0.85,10)</f>
        <v>84150</v>
      </c>
    </row>
    <row r="13" spans="1:13" ht="60" customHeight="1" x14ac:dyDescent="0.25">
      <c r="A13" s="124"/>
      <c r="B13" s="75" t="s">
        <v>984</v>
      </c>
      <c r="C13" s="10" t="s">
        <v>103</v>
      </c>
      <c r="D13" s="10" t="s">
        <v>54</v>
      </c>
      <c r="E13" s="21" t="s">
        <v>31</v>
      </c>
      <c r="F13" s="10" t="s">
        <v>15</v>
      </c>
      <c r="G13" s="15" t="s">
        <v>345</v>
      </c>
      <c r="H13" s="25">
        <v>109500</v>
      </c>
      <c r="I13" s="62">
        <v>0.15</v>
      </c>
      <c r="J13" s="25">
        <f>CEILING(H13*0.85,10)</f>
        <v>93080</v>
      </c>
    </row>
    <row r="14" spans="1:13" ht="60" customHeight="1" x14ac:dyDescent="0.25">
      <c r="A14" s="124"/>
      <c r="B14" s="68" t="s">
        <v>985</v>
      </c>
      <c r="C14" s="69" t="s">
        <v>105</v>
      </c>
      <c r="D14" s="69" t="s">
        <v>55</v>
      </c>
      <c r="E14" s="84" t="s">
        <v>31</v>
      </c>
      <c r="F14" s="69" t="s">
        <v>15</v>
      </c>
      <c r="G14" s="78" t="s">
        <v>346</v>
      </c>
      <c r="H14" s="72">
        <v>132500</v>
      </c>
      <c r="I14" s="71">
        <v>0.15</v>
      </c>
      <c r="J14" s="72">
        <f>CEILING(H14*0.85,10)</f>
        <v>112630</v>
      </c>
    </row>
    <row r="15" spans="1:13" ht="60" customHeight="1" x14ac:dyDescent="0.25">
      <c r="A15" s="124"/>
      <c r="B15" s="75" t="s">
        <v>986</v>
      </c>
      <c r="C15" s="10" t="s">
        <v>107</v>
      </c>
      <c r="D15" s="10" t="s">
        <v>55</v>
      </c>
      <c r="E15" s="21" t="s">
        <v>31</v>
      </c>
      <c r="F15" s="10" t="s">
        <v>15</v>
      </c>
      <c r="G15" s="15" t="s">
        <v>346</v>
      </c>
      <c r="H15" s="25">
        <v>138500</v>
      </c>
      <c r="I15" s="62">
        <v>0.15</v>
      </c>
      <c r="J15" s="25">
        <f>CEILING(H15*0.85,10)</f>
        <v>117730</v>
      </c>
    </row>
  </sheetData>
  <mergeCells count="6">
    <mergeCell ref="A1:J1"/>
    <mergeCell ref="A5:J5"/>
    <mergeCell ref="A10:J10"/>
    <mergeCell ref="A12:A15"/>
    <mergeCell ref="A9:J9"/>
    <mergeCell ref="A6:J6"/>
  </mergeCells>
  <hyperlinks>
    <hyperlink ref="B8" r:id="rId1"/>
    <hyperlink ref="B12" r:id="rId2"/>
    <hyperlink ref="B13" r:id="rId3"/>
    <hyperlink ref="B14" r:id="rId4"/>
    <hyperlink ref="B15" r:id="rId5"/>
    <hyperlink ref="B3" r:id="rId6"/>
    <hyperlink ref="B4" r:id="rId7"/>
  </hyperlinks>
  <pageMargins left="0.7" right="0.7" top="0.75" bottom="0.75" header="0.3" footer="0.3"/>
  <pageSetup paperSize="9" orientation="portrait" r:id="rId8"/>
  <drawing r:id="rId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99"/>
  <sheetViews>
    <sheetView topLeftCell="A256" zoomScale="90" zoomScaleNormal="90" workbookViewId="0">
      <selection activeCell="B52" sqref="B52"/>
    </sheetView>
  </sheetViews>
  <sheetFormatPr defaultRowHeight="13.5" x14ac:dyDescent="0.25"/>
  <cols>
    <col min="1" max="1" width="23.28515625" style="1" customWidth="1"/>
    <col min="2" max="2" width="15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1" width="9.140625" style="1" customWidth="1"/>
    <col min="12" max="16384" width="9.140625" style="1"/>
  </cols>
  <sheetData>
    <row r="1" spans="1:10" ht="39.950000000000003" customHeight="1" x14ac:dyDescent="0.25">
      <c r="A1" s="117" t="s">
        <v>1468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73"/>
      <c r="B2" s="39" t="s">
        <v>2</v>
      </c>
      <c r="C2" s="4" t="s">
        <v>48</v>
      </c>
      <c r="D2" s="4" t="s">
        <v>49</v>
      </c>
      <c r="E2" s="39" t="s">
        <v>9</v>
      </c>
      <c r="F2" s="39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30" customHeight="1" x14ac:dyDescent="0.25">
      <c r="A3" s="124"/>
      <c r="B3" s="75" t="s">
        <v>372</v>
      </c>
      <c r="C3" s="73" t="s">
        <v>376</v>
      </c>
      <c r="D3" s="73" t="s">
        <v>378</v>
      </c>
      <c r="E3" s="73" t="s">
        <v>1058</v>
      </c>
      <c r="F3" s="73" t="s">
        <v>13</v>
      </c>
      <c r="G3" s="73" t="s">
        <v>298</v>
      </c>
      <c r="H3" s="9">
        <v>259900</v>
      </c>
      <c r="I3" s="8">
        <v>0.3</v>
      </c>
      <c r="J3" s="9">
        <f>CEILING(H3*0.7,10)</f>
        <v>181930</v>
      </c>
    </row>
    <row r="4" spans="1:10" ht="30" customHeight="1" x14ac:dyDescent="0.25">
      <c r="A4" s="124"/>
      <c r="B4" s="75" t="s">
        <v>373</v>
      </c>
      <c r="C4" s="73" t="s">
        <v>377</v>
      </c>
      <c r="D4" s="73" t="s">
        <v>379</v>
      </c>
      <c r="E4" s="73" t="s">
        <v>1058</v>
      </c>
      <c r="F4" s="73" t="s">
        <v>13</v>
      </c>
      <c r="G4" s="73" t="s">
        <v>298</v>
      </c>
      <c r="H4" s="9">
        <v>168900</v>
      </c>
      <c r="I4" s="8">
        <v>0.3</v>
      </c>
      <c r="J4" s="9">
        <f>CEILING(H4*0.7,10)</f>
        <v>118230</v>
      </c>
    </row>
    <row r="5" spans="1:10" ht="30" customHeight="1" x14ac:dyDescent="0.25">
      <c r="A5" s="124"/>
      <c r="B5" s="75" t="s">
        <v>374</v>
      </c>
      <c r="C5" s="73" t="s">
        <v>377</v>
      </c>
      <c r="D5" s="73" t="s">
        <v>380</v>
      </c>
      <c r="E5" s="73" t="s">
        <v>1058</v>
      </c>
      <c r="F5" s="73" t="s">
        <v>13</v>
      </c>
      <c r="G5" s="73" t="s">
        <v>298</v>
      </c>
      <c r="H5" s="9">
        <v>154900</v>
      </c>
      <c r="I5" s="8">
        <v>0.3</v>
      </c>
      <c r="J5" s="9">
        <f>CEILING(H5*0.7,10)</f>
        <v>108430</v>
      </c>
    </row>
    <row r="6" spans="1:10" ht="30" customHeight="1" x14ac:dyDescent="0.25">
      <c r="A6" s="124"/>
      <c r="B6" s="75" t="s">
        <v>375</v>
      </c>
      <c r="C6" s="73" t="s">
        <v>377</v>
      </c>
      <c r="D6" s="10" t="s">
        <v>381</v>
      </c>
      <c r="E6" s="73" t="s">
        <v>1058</v>
      </c>
      <c r="F6" s="73" t="s">
        <v>13</v>
      </c>
      <c r="G6" s="10" t="s">
        <v>298</v>
      </c>
      <c r="H6" s="9">
        <v>125900</v>
      </c>
      <c r="I6" s="8">
        <v>0.3</v>
      </c>
      <c r="J6" s="9">
        <f>CEILING(H6*0.7,10)</f>
        <v>88130</v>
      </c>
    </row>
    <row r="7" spans="1:10" ht="20.100000000000001" customHeight="1" x14ac:dyDescent="0.25">
      <c r="A7" s="131"/>
      <c r="B7" s="131"/>
      <c r="C7" s="131"/>
      <c r="D7" s="131"/>
      <c r="E7" s="131"/>
      <c r="F7" s="131"/>
      <c r="G7" s="131"/>
      <c r="H7" s="131"/>
      <c r="I7" s="131"/>
      <c r="J7" s="131"/>
    </row>
    <row r="8" spans="1:10" ht="39.950000000000003" customHeight="1" x14ac:dyDescent="0.25">
      <c r="A8" s="117" t="s">
        <v>1467</v>
      </c>
      <c r="B8" s="118"/>
      <c r="C8" s="118"/>
      <c r="D8" s="118"/>
      <c r="E8" s="118"/>
      <c r="F8" s="118"/>
      <c r="G8" s="118"/>
      <c r="H8" s="118"/>
      <c r="I8" s="118"/>
      <c r="J8" s="118"/>
    </row>
    <row r="9" spans="1:10" ht="30" customHeight="1" x14ac:dyDescent="0.25">
      <c r="A9" s="73"/>
      <c r="B9" s="39" t="s">
        <v>2</v>
      </c>
      <c r="C9" s="4" t="s">
        <v>387</v>
      </c>
      <c r="D9" s="4" t="s">
        <v>391</v>
      </c>
      <c r="E9" s="39" t="s">
        <v>9</v>
      </c>
      <c r="F9" s="39" t="s">
        <v>10</v>
      </c>
      <c r="G9" s="4" t="s">
        <v>11</v>
      </c>
      <c r="H9" s="4" t="s">
        <v>17</v>
      </c>
      <c r="I9" s="4" t="s">
        <v>12</v>
      </c>
      <c r="J9" s="4" t="s">
        <v>18</v>
      </c>
    </row>
    <row r="10" spans="1:10" ht="24.95" customHeight="1" x14ac:dyDescent="0.25">
      <c r="A10" s="124"/>
      <c r="B10" s="75" t="s">
        <v>382</v>
      </c>
      <c r="C10" s="11" t="s">
        <v>388</v>
      </c>
      <c r="D10" s="73">
        <v>35</v>
      </c>
      <c r="E10" s="73" t="s">
        <v>222</v>
      </c>
      <c r="F10" s="73" t="s">
        <v>222</v>
      </c>
      <c r="G10" s="73" t="s">
        <v>222</v>
      </c>
      <c r="H10" s="7">
        <v>329900</v>
      </c>
      <c r="I10" s="8">
        <v>0.3</v>
      </c>
      <c r="J10" s="9">
        <f>CEILING(H10*0.7,10)</f>
        <v>230930</v>
      </c>
    </row>
    <row r="11" spans="1:10" ht="24.95" customHeight="1" x14ac:dyDescent="0.25">
      <c r="A11" s="124"/>
      <c r="B11" s="75" t="s">
        <v>383</v>
      </c>
      <c r="C11" s="11" t="s">
        <v>389</v>
      </c>
      <c r="D11" s="73">
        <v>35</v>
      </c>
      <c r="E11" s="73" t="s">
        <v>222</v>
      </c>
      <c r="F11" s="73" t="s">
        <v>222</v>
      </c>
      <c r="G11" s="73" t="s">
        <v>222</v>
      </c>
      <c r="H11" s="7">
        <v>279900</v>
      </c>
      <c r="I11" s="8">
        <v>0.3</v>
      </c>
      <c r="J11" s="9">
        <f>CEILING(H11*0.7,10)</f>
        <v>195930</v>
      </c>
    </row>
    <row r="12" spans="1:10" ht="24.95" customHeight="1" x14ac:dyDescent="0.25">
      <c r="A12" s="124"/>
      <c r="B12" s="75" t="s">
        <v>384</v>
      </c>
      <c r="C12" s="12" t="s">
        <v>390</v>
      </c>
      <c r="D12" s="73">
        <v>2</v>
      </c>
      <c r="E12" s="73" t="s">
        <v>222</v>
      </c>
      <c r="F12" s="73" t="s">
        <v>222</v>
      </c>
      <c r="G12" s="73" t="s">
        <v>222</v>
      </c>
      <c r="H12" s="31">
        <v>499000</v>
      </c>
      <c r="I12" s="8" t="s">
        <v>1694</v>
      </c>
      <c r="J12" s="65" t="s">
        <v>1695</v>
      </c>
    </row>
    <row r="13" spans="1:10" ht="24.95" customHeight="1" x14ac:dyDescent="0.25">
      <c r="A13" s="124"/>
      <c r="B13" s="75" t="s">
        <v>385</v>
      </c>
      <c r="C13" s="11" t="s">
        <v>388</v>
      </c>
      <c r="D13" s="73">
        <v>10</v>
      </c>
      <c r="E13" s="73" t="s">
        <v>222</v>
      </c>
      <c r="F13" s="73" t="s">
        <v>222</v>
      </c>
      <c r="G13" s="73" t="s">
        <v>222</v>
      </c>
      <c r="H13" s="31">
        <v>459000</v>
      </c>
      <c r="I13" s="8" t="s">
        <v>1694</v>
      </c>
      <c r="J13" s="65" t="s">
        <v>1695</v>
      </c>
    </row>
    <row r="14" spans="1:10" ht="24.95" customHeight="1" x14ac:dyDescent="0.25">
      <c r="A14" s="124"/>
      <c r="B14" s="75" t="s">
        <v>386</v>
      </c>
      <c r="C14" s="11" t="s">
        <v>389</v>
      </c>
      <c r="D14" s="73">
        <v>10</v>
      </c>
      <c r="E14" s="73" t="s">
        <v>222</v>
      </c>
      <c r="F14" s="73" t="s">
        <v>222</v>
      </c>
      <c r="G14" s="73" t="s">
        <v>222</v>
      </c>
      <c r="H14" s="31">
        <v>459000</v>
      </c>
      <c r="I14" s="8" t="s">
        <v>1694</v>
      </c>
      <c r="J14" s="65" t="s">
        <v>1695</v>
      </c>
    </row>
    <row r="15" spans="1:10" ht="20.100000000000001" customHeight="1" x14ac:dyDescent="0.25">
      <c r="A15" s="131"/>
      <c r="B15" s="131"/>
      <c r="C15" s="131"/>
      <c r="D15" s="131"/>
      <c r="E15" s="131"/>
      <c r="F15" s="131"/>
      <c r="G15" s="131"/>
      <c r="H15" s="131"/>
      <c r="I15" s="131"/>
      <c r="J15" s="131"/>
    </row>
    <row r="16" spans="1:10" ht="60" customHeight="1" x14ac:dyDescent="0.25">
      <c r="A16" s="117" t="s">
        <v>1818</v>
      </c>
      <c r="B16" s="118"/>
      <c r="C16" s="118"/>
      <c r="D16" s="118"/>
      <c r="E16" s="118"/>
      <c r="F16" s="118"/>
      <c r="G16" s="118"/>
      <c r="H16" s="118"/>
      <c r="I16" s="118"/>
      <c r="J16" s="118"/>
    </row>
    <row r="17" spans="1:12" ht="30" customHeight="1" x14ac:dyDescent="0.25">
      <c r="A17" s="73"/>
      <c r="B17" s="39" t="s">
        <v>2</v>
      </c>
      <c r="C17" s="4" t="s">
        <v>48</v>
      </c>
      <c r="D17" s="4" t="s">
        <v>49</v>
      </c>
      <c r="E17" s="39" t="s">
        <v>9</v>
      </c>
      <c r="F17" s="39" t="s">
        <v>10</v>
      </c>
      <c r="G17" s="4" t="s">
        <v>11</v>
      </c>
      <c r="H17" s="4" t="s">
        <v>17</v>
      </c>
      <c r="I17" s="4" t="s">
        <v>12</v>
      </c>
      <c r="J17" s="4" t="s">
        <v>18</v>
      </c>
    </row>
    <row r="18" spans="1:12" ht="23.1" customHeight="1" x14ac:dyDescent="0.25">
      <c r="A18" s="124"/>
      <c r="B18" s="81" t="s">
        <v>1101</v>
      </c>
      <c r="C18" s="69" t="s">
        <v>392</v>
      </c>
      <c r="D18" s="69" t="s">
        <v>393</v>
      </c>
      <c r="E18" s="69" t="s">
        <v>1070</v>
      </c>
      <c r="F18" s="69" t="s">
        <v>15</v>
      </c>
      <c r="G18" s="69" t="s">
        <v>395</v>
      </c>
      <c r="H18" s="70" t="s">
        <v>222</v>
      </c>
      <c r="I18" s="71" t="s">
        <v>222</v>
      </c>
      <c r="J18" s="72" t="s">
        <v>222</v>
      </c>
      <c r="L18" s="94"/>
    </row>
    <row r="19" spans="1:12" ht="23.1" customHeight="1" x14ac:dyDescent="0.25">
      <c r="A19" s="124"/>
      <c r="B19" s="81" t="s">
        <v>1102</v>
      </c>
      <c r="C19" s="69" t="s">
        <v>394</v>
      </c>
      <c r="D19" s="69" t="s">
        <v>400</v>
      </c>
      <c r="E19" s="69" t="s">
        <v>1070</v>
      </c>
      <c r="F19" s="69" t="s">
        <v>15</v>
      </c>
      <c r="G19" s="69" t="s">
        <v>395</v>
      </c>
      <c r="H19" s="70" t="s">
        <v>222</v>
      </c>
      <c r="I19" s="71" t="s">
        <v>222</v>
      </c>
      <c r="J19" s="72" t="s">
        <v>222</v>
      </c>
      <c r="L19" s="94"/>
    </row>
    <row r="20" spans="1:12" ht="23.1" customHeight="1" x14ac:dyDescent="0.25">
      <c r="A20" s="124"/>
      <c r="B20" s="39" t="s">
        <v>1103</v>
      </c>
      <c r="C20" s="73" t="s">
        <v>52</v>
      </c>
      <c r="D20" s="73" t="s">
        <v>53</v>
      </c>
      <c r="E20" s="73" t="s">
        <v>1070</v>
      </c>
      <c r="F20" s="73" t="s">
        <v>15</v>
      </c>
      <c r="G20" s="73" t="s">
        <v>16</v>
      </c>
      <c r="H20" s="7">
        <v>201450</v>
      </c>
      <c r="I20" s="8">
        <v>0.3</v>
      </c>
      <c r="J20" s="9">
        <f>CEILING(H20*0.7,10)</f>
        <v>141020</v>
      </c>
      <c r="L20" s="94"/>
    </row>
    <row r="21" spans="1:12" ht="23.1" customHeight="1" x14ac:dyDescent="0.25">
      <c r="A21" s="124"/>
      <c r="B21" s="39" t="s">
        <v>1104</v>
      </c>
      <c r="C21" s="73" t="s">
        <v>58</v>
      </c>
      <c r="D21" s="73" t="s">
        <v>53</v>
      </c>
      <c r="E21" s="73" t="s">
        <v>1070</v>
      </c>
      <c r="F21" s="73" t="s">
        <v>15</v>
      </c>
      <c r="G21" s="73" t="s">
        <v>16</v>
      </c>
      <c r="H21" s="7">
        <v>228650</v>
      </c>
      <c r="I21" s="8">
        <v>0.3</v>
      </c>
      <c r="J21" s="9">
        <f>CEILING(H21*0.7,10)</f>
        <v>160060</v>
      </c>
      <c r="L21" s="94"/>
    </row>
    <row r="22" spans="1:12" ht="23.1" customHeight="1" x14ac:dyDescent="0.25">
      <c r="A22" s="124"/>
      <c r="B22" s="81" t="s">
        <v>1105</v>
      </c>
      <c r="C22" s="69" t="s">
        <v>405</v>
      </c>
      <c r="D22" s="69" t="s">
        <v>53</v>
      </c>
      <c r="E22" s="69" t="s">
        <v>1070</v>
      </c>
      <c r="F22" s="69" t="s">
        <v>15</v>
      </c>
      <c r="G22" s="69" t="s">
        <v>16</v>
      </c>
      <c r="H22" s="70" t="s">
        <v>222</v>
      </c>
      <c r="I22" s="71" t="s">
        <v>222</v>
      </c>
      <c r="J22" s="72" t="s">
        <v>222</v>
      </c>
      <c r="L22" s="94"/>
    </row>
    <row r="23" spans="1:12" ht="20.100000000000001" customHeight="1" x14ac:dyDescent="0.25">
      <c r="A23" s="131"/>
      <c r="B23" s="131"/>
      <c r="C23" s="131"/>
      <c r="D23" s="131"/>
      <c r="E23" s="131"/>
      <c r="F23" s="131"/>
      <c r="G23" s="131"/>
      <c r="H23" s="131"/>
      <c r="I23" s="131"/>
      <c r="J23" s="131"/>
      <c r="L23" s="94"/>
    </row>
    <row r="24" spans="1:12" ht="39.950000000000003" customHeight="1" x14ac:dyDescent="0.25">
      <c r="A24" s="117" t="s">
        <v>1464</v>
      </c>
      <c r="B24" s="118"/>
      <c r="C24" s="118"/>
      <c r="D24" s="118"/>
      <c r="E24" s="118"/>
      <c r="F24" s="118"/>
      <c r="G24" s="118"/>
      <c r="H24" s="118"/>
      <c r="I24" s="118"/>
      <c r="J24" s="118"/>
    </row>
    <row r="25" spans="1:12" ht="30" customHeight="1" x14ac:dyDescent="0.25">
      <c r="A25" s="73"/>
      <c r="B25" s="39" t="s">
        <v>2</v>
      </c>
      <c r="C25" s="4" t="s">
        <v>48</v>
      </c>
      <c r="D25" s="4" t="s">
        <v>49</v>
      </c>
      <c r="E25" s="39" t="s">
        <v>9</v>
      </c>
      <c r="F25" s="39" t="s">
        <v>10</v>
      </c>
      <c r="G25" s="4" t="s">
        <v>11</v>
      </c>
      <c r="H25" s="4" t="s">
        <v>17</v>
      </c>
      <c r="I25" s="4" t="s">
        <v>12</v>
      </c>
      <c r="J25" s="4" t="s">
        <v>18</v>
      </c>
    </row>
    <row r="26" spans="1:12" ht="24.95" customHeight="1" x14ac:dyDescent="0.25">
      <c r="A26" s="124"/>
      <c r="B26" s="75" t="s">
        <v>1009</v>
      </c>
      <c r="C26" s="73" t="s">
        <v>392</v>
      </c>
      <c r="D26" s="73" t="s">
        <v>393</v>
      </c>
      <c r="E26" s="73" t="s">
        <v>14</v>
      </c>
      <c r="F26" s="73" t="s">
        <v>15</v>
      </c>
      <c r="G26" s="73" t="s">
        <v>395</v>
      </c>
      <c r="H26" s="31">
        <v>1450000</v>
      </c>
      <c r="I26" s="8" t="s">
        <v>1694</v>
      </c>
      <c r="J26" s="65" t="s">
        <v>1695</v>
      </c>
    </row>
    <row r="27" spans="1:12" ht="24.95" customHeight="1" x14ac:dyDescent="0.25">
      <c r="A27" s="124"/>
      <c r="B27" s="75" t="s">
        <v>1010</v>
      </c>
      <c r="C27" s="73" t="s">
        <v>394</v>
      </c>
      <c r="D27" s="73" t="s">
        <v>400</v>
      </c>
      <c r="E27" s="73" t="s">
        <v>14</v>
      </c>
      <c r="F27" s="73" t="s">
        <v>15</v>
      </c>
      <c r="G27" s="73" t="s">
        <v>395</v>
      </c>
      <c r="H27" s="31">
        <v>1050000</v>
      </c>
      <c r="I27" s="8" t="s">
        <v>1694</v>
      </c>
      <c r="J27" s="65" t="s">
        <v>1695</v>
      </c>
    </row>
    <row r="28" spans="1:12" ht="24.95" customHeight="1" x14ac:dyDescent="0.25">
      <c r="A28" s="124"/>
      <c r="B28" s="75" t="s">
        <v>1011</v>
      </c>
      <c r="C28" s="73" t="s">
        <v>396</v>
      </c>
      <c r="D28" s="73" t="s">
        <v>397</v>
      </c>
      <c r="E28" s="73" t="s">
        <v>14</v>
      </c>
      <c r="F28" s="73" t="s">
        <v>15</v>
      </c>
      <c r="G28" s="73" t="s">
        <v>16</v>
      </c>
      <c r="H28" s="31">
        <v>499000</v>
      </c>
      <c r="I28" s="8" t="s">
        <v>1694</v>
      </c>
      <c r="J28" s="65" t="s">
        <v>1695</v>
      </c>
    </row>
    <row r="29" spans="1:12" ht="24.95" customHeight="1" x14ac:dyDescent="0.25">
      <c r="A29" s="124"/>
      <c r="B29" s="75" t="s">
        <v>1012</v>
      </c>
      <c r="C29" s="73" t="s">
        <v>52</v>
      </c>
      <c r="D29" s="73" t="s">
        <v>53</v>
      </c>
      <c r="E29" s="73" t="s">
        <v>14</v>
      </c>
      <c r="F29" s="73" t="s">
        <v>15</v>
      </c>
      <c r="G29" s="73" t="s">
        <v>16</v>
      </c>
      <c r="H29" s="7">
        <v>390000</v>
      </c>
      <c r="I29" s="8">
        <v>0.3</v>
      </c>
      <c r="J29" s="9">
        <f>CEILING(H29*0.7,10)</f>
        <v>273000</v>
      </c>
    </row>
    <row r="30" spans="1:12" ht="24.95" customHeight="1" x14ac:dyDescent="0.25">
      <c r="A30" s="124"/>
      <c r="B30" s="75" t="s">
        <v>1013</v>
      </c>
      <c r="C30" s="73" t="s">
        <v>58</v>
      </c>
      <c r="D30" s="73" t="s">
        <v>53</v>
      </c>
      <c r="E30" s="73" t="s">
        <v>14</v>
      </c>
      <c r="F30" s="73" t="s">
        <v>15</v>
      </c>
      <c r="G30" s="73" t="s">
        <v>16</v>
      </c>
      <c r="H30" s="7">
        <v>420000</v>
      </c>
      <c r="I30" s="8">
        <v>0.3</v>
      </c>
      <c r="J30" s="9">
        <f>CEILING(H30*0.7,10)</f>
        <v>294000</v>
      </c>
    </row>
    <row r="31" spans="1:12" ht="24.95" customHeight="1" x14ac:dyDescent="0.25">
      <c r="A31" s="124"/>
      <c r="B31" s="75" t="s">
        <v>1014</v>
      </c>
      <c r="C31" s="73" t="s">
        <v>405</v>
      </c>
      <c r="D31" s="73" t="s">
        <v>53</v>
      </c>
      <c r="E31" s="73" t="s">
        <v>14</v>
      </c>
      <c r="F31" s="73" t="s">
        <v>15</v>
      </c>
      <c r="G31" s="73" t="s">
        <v>16</v>
      </c>
      <c r="H31" s="7">
        <v>450000</v>
      </c>
      <c r="I31" s="8">
        <v>0.3</v>
      </c>
      <c r="J31" s="9">
        <f>CEILING(H31*0.7,10)</f>
        <v>315000</v>
      </c>
    </row>
    <row r="32" spans="1:12" ht="20.100000000000001" customHeight="1" x14ac:dyDescent="0.25">
      <c r="A32" s="131"/>
      <c r="B32" s="131"/>
      <c r="C32" s="131"/>
      <c r="D32" s="131"/>
      <c r="E32" s="131"/>
      <c r="F32" s="131"/>
      <c r="G32" s="131"/>
      <c r="H32" s="131"/>
      <c r="I32" s="131"/>
      <c r="J32" s="131"/>
    </row>
    <row r="33" spans="1:10" ht="39.950000000000003" customHeight="1" x14ac:dyDescent="0.25">
      <c r="A33" s="117" t="s">
        <v>1465</v>
      </c>
      <c r="B33" s="118"/>
      <c r="C33" s="118"/>
      <c r="D33" s="118"/>
      <c r="E33" s="118"/>
      <c r="F33" s="118"/>
      <c r="G33" s="118"/>
      <c r="H33" s="118"/>
      <c r="I33" s="118"/>
      <c r="J33" s="118"/>
    </row>
    <row r="34" spans="1:10" ht="30" customHeight="1" x14ac:dyDescent="0.25">
      <c r="A34" s="73"/>
      <c r="B34" s="39" t="s">
        <v>2</v>
      </c>
      <c r="C34" s="4" t="s">
        <v>48</v>
      </c>
      <c r="D34" s="4" t="s">
        <v>49</v>
      </c>
      <c r="E34" s="39" t="s">
        <v>9</v>
      </c>
      <c r="F34" s="39" t="s">
        <v>10</v>
      </c>
      <c r="G34" s="4" t="s">
        <v>11</v>
      </c>
      <c r="H34" s="4" t="s">
        <v>17</v>
      </c>
      <c r="I34" s="4" t="s">
        <v>12</v>
      </c>
      <c r="J34" s="4" t="s">
        <v>18</v>
      </c>
    </row>
    <row r="35" spans="1:10" ht="30" customHeight="1" x14ac:dyDescent="0.25">
      <c r="A35" s="132"/>
      <c r="B35" s="75" t="s">
        <v>406</v>
      </c>
      <c r="C35" s="73" t="s">
        <v>51</v>
      </c>
      <c r="D35" s="73" t="s">
        <v>53</v>
      </c>
      <c r="E35" s="73" t="s">
        <v>14</v>
      </c>
      <c r="F35" s="73" t="s">
        <v>15</v>
      </c>
      <c r="G35" s="73" t="s">
        <v>298</v>
      </c>
      <c r="H35" s="7">
        <v>155900</v>
      </c>
      <c r="I35" s="8">
        <v>0.3</v>
      </c>
      <c r="J35" s="9">
        <f>CEILING(H35*0.7,10)</f>
        <v>109130</v>
      </c>
    </row>
    <row r="36" spans="1:10" ht="30" customHeight="1" x14ac:dyDescent="0.25">
      <c r="A36" s="133"/>
      <c r="B36" s="75" t="s">
        <v>407</v>
      </c>
      <c r="C36" s="73" t="s">
        <v>290</v>
      </c>
      <c r="D36" s="73" t="s">
        <v>53</v>
      </c>
      <c r="E36" s="73" t="s">
        <v>14</v>
      </c>
      <c r="F36" s="73" t="s">
        <v>15</v>
      </c>
      <c r="G36" s="73" t="s">
        <v>298</v>
      </c>
      <c r="H36" s="7">
        <v>159900</v>
      </c>
      <c r="I36" s="8">
        <v>0.3</v>
      </c>
      <c r="J36" s="9">
        <f>CEILING(H36*0.7,10)</f>
        <v>111930</v>
      </c>
    </row>
    <row r="37" spans="1:10" ht="30" customHeight="1" x14ac:dyDescent="0.25">
      <c r="A37" s="133"/>
      <c r="B37" s="75" t="s">
        <v>408</v>
      </c>
      <c r="C37" s="73" t="s">
        <v>291</v>
      </c>
      <c r="D37" s="73" t="s">
        <v>53</v>
      </c>
      <c r="E37" s="73" t="s">
        <v>14</v>
      </c>
      <c r="F37" s="73" t="s">
        <v>15</v>
      </c>
      <c r="G37" s="73" t="s">
        <v>298</v>
      </c>
      <c r="H37" s="7">
        <v>189900</v>
      </c>
      <c r="I37" s="8">
        <v>0.3</v>
      </c>
      <c r="J37" s="9">
        <f>CEILING(H37*0.7,10)</f>
        <v>132930</v>
      </c>
    </row>
    <row r="38" spans="1:10" ht="30" customHeight="1" x14ac:dyDescent="0.25">
      <c r="A38" s="134"/>
      <c r="B38" s="75" t="s">
        <v>398</v>
      </c>
      <c r="C38" s="73" t="s">
        <v>399</v>
      </c>
      <c r="D38" s="73" t="s">
        <v>77</v>
      </c>
      <c r="E38" s="73" t="s">
        <v>14</v>
      </c>
      <c r="F38" s="73" t="s">
        <v>15</v>
      </c>
      <c r="G38" s="73" t="s">
        <v>298</v>
      </c>
      <c r="H38" s="7">
        <v>234900</v>
      </c>
      <c r="I38" s="8">
        <v>0.3</v>
      </c>
      <c r="J38" s="9">
        <f>CEILING(H38*0.7,10)</f>
        <v>164430</v>
      </c>
    </row>
    <row r="39" spans="1:10" ht="20.100000000000001" customHeight="1" x14ac:dyDescent="0.25">
      <c r="A39" s="131"/>
      <c r="B39" s="131"/>
      <c r="C39" s="131"/>
      <c r="D39" s="131"/>
      <c r="E39" s="131"/>
      <c r="F39" s="131"/>
      <c r="G39" s="131"/>
      <c r="H39" s="131"/>
      <c r="I39" s="131"/>
      <c r="J39" s="131"/>
    </row>
    <row r="40" spans="1:10" ht="39.950000000000003" customHeight="1" x14ac:dyDescent="0.25">
      <c r="A40" s="129" t="s">
        <v>1466</v>
      </c>
      <c r="B40" s="130"/>
      <c r="C40" s="130"/>
      <c r="D40" s="130"/>
      <c r="E40" s="130"/>
      <c r="F40" s="130"/>
      <c r="G40" s="130"/>
      <c r="H40" s="130"/>
      <c r="I40" s="130"/>
      <c r="J40" s="130"/>
    </row>
    <row r="41" spans="1:10" ht="30" customHeight="1" x14ac:dyDescent="0.25">
      <c r="A41" s="73"/>
      <c r="B41" s="39" t="s">
        <v>2</v>
      </c>
      <c r="C41" s="4" t="s">
        <v>48</v>
      </c>
      <c r="D41" s="4" t="s">
        <v>49</v>
      </c>
      <c r="E41" s="39" t="s">
        <v>9</v>
      </c>
      <c r="F41" s="39" t="s">
        <v>10</v>
      </c>
      <c r="G41" s="4" t="s">
        <v>11</v>
      </c>
      <c r="H41" s="4" t="s">
        <v>17</v>
      </c>
      <c r="I41" s="4" t="s">
        <v>12</v>
      </c>
      <c r="J41" s="4" t="s">
        <v>18</v>
      </c>
    </row>
    <row r="42" spans="1:10" ht="24.95" customHeight="1" x14ac:dyDescent="0.25">
      <c r="A42" s="132"/>
      <c r="B42" s="75" t="s">
        <v>409</v>
      </c>
      <c r="C42" s="73" t="s">
        <v>51</v>
      </c>
      <c r="D42" s="73" t="s">
        <v>53</v>
      </c>
      <c r="E42" s="73" t="s">
        <v>14</v>
      </c>
      <c r="F42" s="73" t="s">
        <v>15</v>
      </c>
      <c r="G42" s="73" t="s">
        <v>16</v>
      </c>
      <c r="H42" s="7">
        <v>199900</v>
      </c>
      <c r="I42" s="8">
        <v>0.3</v>
      </c>
      <c r="J42" s="9">
        <f>CEILING(H42*0.7,10)</f>
        <v>139930</v>
      </c>
    </row>
    <row r="43" spans="1:10" ht="24.95" customHeight="1" x14ac:dyDescent="0.25">
      <c r="A43" s="133"/>
      <c r="B43" s="75" t="s">
        <v>410</v>
      </c>
      <c r="C43" s="73" t="s">
        <v>52</v>
      </c>
      <c r="D43" s="73" t="s">
        <v>53</v>
      </c>
      <c r="E43" s="73" t="s">
        <v>14</v>
      </c>
      <c r="F43" s="73" t="s">
        <v>15</v>
      </c>
      <c r="G43" s="73" t="s">
        <v>16</v>
      </c>
      <c r="H43" s="7">
        <v>229900</v>
      </c>
      <c r="I43" s="8">
        <v>0.3</v>
      </c>
      <c r="J43" s="9">
        <f>CEILING(H43*0.7,10)</f>
        <v>160930</v>
      </c>
    </row>
    <row r="44" spans="1:10" ht="24.95" customHeight="1" x14ac:dyDescent="0.25">
      <c r="A44" s="133"/>
      <c r="B44" s="75" t="s">
        <v>411</v>
      </c>
      <c r="C44" s="73" t="s">
        <v>58</v>
      </c>
      <c r="D44" s="73" t="s">
        <v>53</v>
      </c>
      <c r="E44" s="73" t="s">
        <v>14</v>
      </c>
      <c r="F44" s="73" t="s">
        <v>15</v>
      </c>
      <c r="G44" s="73" t="s">
        <v>16</v>
      </c>
      <c r="H44" s="7">
        <v>249900</v>
      </c>
      <c r="I44" s="8">
        <v>0.3</v>
      </c>
      <c r="J44" s="9">
        <f>CEILING(H44*0.7,10)</f>
        <v>174930</v>
      </c>
    </row>
    <row r="45" spans="1:10" ht="24.95" customHeight="1" x14ac:dyDescent="0.25">
      <c r="A45" s="133"/>
      <c r="B45" s="75" t="s">
        <v>401</v>
      </c>
      <c r="C45" s="73" t="s">
        <v>403</v>
      </c>
      <c r="D45" s="73" t="s">
        <v>77</v>
      </c>
      <c r="E45" s="73" t="s">
        <v>14</v>
      </c>
      <c r="F45" s="73" t="s">
        <v>15</v>
      </c>
      <c r="G45" s="73" t="s">
        <v>16</v>
      </c>
      <c r="H45" s="7">
        <v>275900</v>
      </c>
      <c r="I45" s="8">
        <v>0.3</v>
      </c>
      <c r="J45" s="9">
        <f>CEILING(H45*0.7,10)</f>
        <v>193130</v>
      </c>
    </row>
    <row r="46" spans="1:10" ht="24.95" customHeight="1" x14ac:dyDescent="0.25">
      <c r="A46" s="134"/>
      <c r="B46" s="75" t="s">
        <v>402</v>
      </c>
      <c r="C46" s="73" t="s">
        <v>404</v>
      </c>
      <c r="D46" s="73" t="s">
        <v>77</v>
      </c>
      <c r="E46" s="73" t="s">
        <v>14</v>
      </c>
      <c r="F46" s="73" t="s">
        <v>15</v>
      </c>
      <c r="G46" s="73" t="s">
        <v>16</v>
      </c>
      <c r="H46" s="7">
        <v>299900</v>
      </c>
      <c r="I46" s="8">
        <v>0.3</v>
      </c>
      <c r="J46" s="9">
        <f>CEILING(H46*0.7,10)</f>
        <v>209930</v>
      </c>
    </row>
    <row r="47" spans="1:10" ht="20.100000000000001" customHeight="1" x14ac:dyDescent="0.25">
      <c r="A47" s="131"/>
      <c r="B47" s="131"/>
      <c r="C47" s="131"/>
      <c r="D47" s="131"/>
      <c r="E47" s="131"/>
      <c r="F47" s="131"/>
      <c r="G47" s="131"/>
      <c r="H47" s="131"/>
      <c r="I47" s="131"/>
      <c r="J47" s="131"/>
    </row>
    <row r="48" spans="1:10" ht="39.950000000000003" customHeight="1" x14ac:dyDescent="0.25">
      <c r="A48" s="129" t="s">
        <v>1470</v>
      </c>
      <c r="B48" s="130"/>
      <c r="C48" s="130"/>
      <c r="D48" s="130"/>
      <c r="E48" s="130"/>
      <c r="F48" s="130"/>
      <c r="G48" s="130"/>
      <c r="H48" s="130"/>
      <c r="I48" s="130"/>
      <c r="J48" s="130"/>
    </row>
    <row r="49" spans="1:10" ht="30" customHeight="1" x14ac:dyDescent="0.25">
      <c r="A49" s="73"/>
      <c r="B49" s="39" t="s">
        <v>2</v>
      </c>
      <c r="C49" s="4" t="s">
        <v>48</v>
      </c>
      <c r="D49" s="4" t="s">
        <v>49</v>
      </c>
      <c r="E49" s="39" t="s">
        <v>9</v>
      </c>
      <c r="F49" s="39" t="s">
        <v>10</v>
      </c>
      <c r="G49" s="4" t="s">
        <v>11</v>
      </c>
      <c r="H49" s="4" t="s">
        <v>17</v>
      </c>
      <c r="I49" s="4" t="s">
        <v>12</v>
      </c>
      <c r="J49" s="4" t="s">
        <v>18</v>
      </c>
    </row>
    <row r="50" spans="1:10" ht="20.100000000000001" customHeight="1" x14ac:dyDescent="0.25">
      <c r="A50" s="124"/>
      <c r="B50" s="75" t="s">
        <v>412</v>
      </c>
      <c r="C50" s="73" t="s">
        <v>420</v>
      </c>
      <c r="D50" s="73" t="s">
        <v>53</v>
      </c>
      <c r="E50" s="73" t="s">
        <v>14</v>
      </c>
      <c r="F50" s="73" t="s">
        <v>13</v>
      </c>
      <c r="G50" s="73" t="s">
        <v>16</v>
      </c>
      <c r="H50" s="7">
        <v>85900</v>
      </c>
      <c r="I50" s="8">
        <v>0.3</v>
      </c>
      <c r="J50" s="9">
        <f>CEILING(H50*0.7,10)</f>
        <v>60130</v>
      </c>
    </row>
    <row r="51" spans="1:10" ht="20.100000000000001" customHeight="1" x14ac:dyDescent="0.25">
      <c r="A51" s="124"/>
      <c r="B51" s="75" t="s">
        <v>413</v>
      </c>
      <c r="C51" s="73" t="s">
        <v>421</v>
      </c>
      <c r="D51" s="73" t="s">
        <v>53</v>
      </c>
      <c r="E51" s="73" t="s">
        <v>14</v>
      </c>
      <c r="F51" s="73" t="s">
        <v>13</v>
      </c>
      <c r="G51" s="73" t="s">
        <v>16</v>
      </c>
      <c r="H51" s="7">
        <v>89900</v>
      </c>
      <c r="I51" s="8">
        <v>0.3</v>
      </c>
      <c r="J51" s="9">
        <f t="shared" ref="J51:J56" si="0">CEILING(H51*0.7,10)</f>
        <v>62930</v>
      </c>
    </row>
    <row r="52" spans="1:10" ht="20.100000000000001" customHeight="1" x14ac:dyDescent="0.25">
      <c r="A52" s="124"/>
      <c r="B52" s="75" t="s">
        <v>414</v>
      </c>
      <c r="C52" s="73" t="s">
        <v>422</v>
      </c>
      <c r="D52" s="73" t="s">
        <v>53</v>
      </c>
      <c r="E52" s="73" t="s">
        <v>14</v>
      </c>
      <c r="F52" s="73" t="s">
        <v>13</v>
      </c>
      <c r="G52" s="73" t="s">
        <v>16</v>
      </c>
      <c r="H52" s="7">
        <v>97900</v>
      </c>
      <c r="I52" s="8">
        <v>0.3</v>
      </c>
      <c r="J52" s="9">
        <f t="shared" si="0"/>
        <v>68530</v>
      </c>
    </row>
    <row r="53" spans="1:10" ht="20.100000000000001" customHeight="1" x14ac:dyDescent="0.25">
      <c r="A53" s="124"/>
      <c r="B53" s="75" t="s">
        <v>415</v>
      </c>
      <c r="C53" s="73" t="s">
        <v>423</v>
      </c>
      <c r="D53" s="73" t="s">
        <v>424</v>
      </c>
      <c r="E53" s="73" t="s">
        <v>14</v>
      </c>
      <c r="F53" s="73" t="s">
        <v>13</v>
      </c>
      <c r="G53" s="73" t="s">
        <v>16</v>
      </c>
      <c r="H53" s="7">
        <v>94900</v>
      </c>
      <c r="I53" s="8">
        <v>0.3</v>
      </c>
      <c r="J53" s="9">
        <f t="shared" si="0"/>
        <v>66430</v>
      </c>
    </row>
    <row r="54" spans="1:10" ht="20.100000000000001" customHeight="1" x14ac:dyDescent="0.25">
      <c r="A54" s="124"/>
      <c r="B54" s="75" t="s">
        <v>416</v>
      </c>
      <c r="C54" s="73" t="s">
        <v>420</v>
      </c>
      <c r="D54" s="73" t="s">
        <v>53</v>
      </c>
      <c r="E54" s="73" t="s">
        <v>14</v>
      </c>
      <c r="F54" s="73" t="s">
        <v>15</v>
      </c>
      <c r="G54" s="73" t="s">
        <v>16</v>
      </c>
      <c r="H54" s="7">
        <v>97900</v>
      </c>
      <c r="I54" s="8">
        <v>0.3</v>
      </c>
      <c r="J54" s="9">
        <f t="shared" si="0"/>
        <v>68530</v>
      </c>
    </row>
    <row r="55" spans="1:10" ht="20.100000000000001" customHeight="1" x14ac:dyDescent="0.25">
      <c r="A55" s="124"/>
      <c r="B55" s="75" t="s">
        <v>417</v>
      </c>
      <c r="C55" s="73" t="s">
        <v>421</v>
      </c>
      <c r="D55" s="73" t="s">
        <v>53</v>
      </c>
      <c r="E55" s="73" t="s">
        <v>14</v>
      </c>
      <c r="F55" s="73" t="s">
        <v>15</v>
      </c>
      <c r="G55" s="73" t="s">
        <v>16</v>
      </c>
      <c r="H55" s="7">
        <v>99900</v>
      </c>
      <c r="I55" s="8">
        <v>0.3</v>
      </c>
      <c r="J55" s="9">
        <f>CEILING(H55*0.7,10)</f>
        <v>69930</v>
      </c>
    </row>
    <row r="56" spans="1:10" ht="20.100000000000001" customHeight="1" x14ac:dyDescent="0.25">
      <c r="A56" s="124"/>
      <c r="B56" s="75" t="s">
        <v>418</v>
      </c>
      <c r="C56" s="73" t="s">
        <v>422</v>
      </c>
      <c r="D56" s="73" t="s">
        <v>53</v>
      </c>
      <c r="E56" s="73" t="s">
        <v>14</v>
      </c>
      <c r="F56" s="73" t="s">
        <v>15</v>
      </c>
      <c r="G56" s="73" t="s">
        <v>16</v>
      </c>
      <c r="H56" s="7">
        <v>105900</v>
      </c>
      <c r="I56" s="8">
        <v>0.3</v>
      </c>
      <c r="J56" s="9">
        <f t="shared" si="0"/>
        <v>74130</v>
      </c>
    </row>
    <row r="57" spans="1:10" ht="20.100000000000001" customHeight="1" x14ac:dyDescent="0.25">
      <c r="A57" s="124"/>
      <c r="B57" s="75" t="s">
        <v>419</v>
      </c>
      <c r="C57" s="73" t="s">
        <v>423</v>
      </c>
      <c r="D57" s="73" t="s">
        <v>424</v>
      </c>
      <c r="E57" s="73" t="s">
        <v>14</v>
      </c>
      <c r="F57" s="73" t="s">
        <v>15</v>
      </c>
      <c r="G57" s="73" t="s">
        <v>16</v>
      </c>
      <c r="H57" s="7">
        <v>109900</v>
      </c>
      <c r="I57" s="8">
        <v>0.3</v>
      </c>
      <c r="J57" s="9">
        <f>CEILING(H57*0.7,10)</f>
        <v>76930</v>
      </c>
    </row>
    <row r="58" spans="1:10" ht="20.100000000000001" customHeight="1" x14ac:dyDescent="0.25">
      <c r="A58" s="131"/>
      <c r="B58" s="131"/>
      <c r="C58" s="131"/>
      <c r="D58" s="131"/>
      <c r="E58" s="131"/>
      <c r="F58" s="131"/>
      <c r="G58" s="131"/>
      <c r="H58" s="131"/>
      <c r="I58" s="131"/>
      <c r="J58" s="131"/>
    </row>
    <row r="59" spans="1:10" ht="39.950000000000003" customHeight="1" x14ac:dyDescent="0.25">
      <c r="A59" s="129" t="s">
        <v>1469</v>
      </c>
      <c r="B59" s="130"/>
      <c r="C59" s="130"/>
      <c r="D59" s="130"/>
      <c r="E59" s="130"/>
      <c r="F59" s="130"/>
      <c r="G59" s="130"/>
      <c r="H59" s="130"/>
      <c r="I59" s="130"/>
      <c r="J59" s="130"/>
    </row>
    <row r="60" spans="1:10" ht="30" customHeight="1" x14ac:dyDescent="0.25">
      <c r="A60" s="73"/>
      <c r="B60" s="39" t="s">
        <v>2</v>
      </c>
      <c r="C60" s="4" t="s">
        <v>48</v>
      </c>
      <c r="D60" s="4" t="s">
        <v>49</v>
      </c>
      <c r="E60" s="39" t="s">
        <v>9</v>
      </c>
      <c r="F60" s="39" t="s">
        <v>10</v>
      </c>
      <c r="G60" s="4" t="s">
        <v>11</v>
      </c>
      <c r="H60" s="4" t="s">
        <v>17</v>
      </c>
      <c r="I60" s="4" t="s">
        <v>12</v>
      </c>
      <c r="J60" s="4" t="s">
        <v>18</v>
      </c>
    </row>
    <row r="61" spans="1:10" ht="27" customHeight="1" x14ac:dyDescent="0.25">
      <c r="A61" s="145"/>
      <c r="B61" s="75" t="s">
        <v>1077</v>
      </c>
      <c r="C61" s="73" t="s">
        <v>216</v>
      </c>
      <c r="D61" s="73" t="s">
        <v>53</v>
      </c>
      <c r="E61" s="73" t="s">
        <v>1070</v>
      </c>
      <c r="F61" s="73" t="s">
        <v>15</v>
      </c>
      <c r="G61" s="15" t="s">
        <v>30</v>
      </c>
      <c r="H61" s="31">
        <v>290000</v>
      </c>
      <c r="I61" s="8" t="s">
        <v>1694</v>
      </c>
      <c r="J61" s="65" t="s">
        <v>1695</v>
      </c>
    </row>
    <row r="62" spans="1:10" ht="27" customHeight="1" x14ac:dyDescent="0.25">
      <c r="A62" s="146"/>
      <c r="B62" s="75" t="s">
        <v>1071</v>
      </c>
      <c r="C62" s="73" t="s">
        <v>67</v>
      </c>
      <c r="D62" s="73" t="s">
        <v>54</v>
      </c>
      <c r="E62" s="73" t="s">
        <v>1070</v>
      </c>
      <c r="F62" s="73" t="s">
        <v>15</v>
      </c>
      <c r="G62" s="15" t="s">
        <v>467</v>
      </c>
      <c r="H62" s="31">
        <v>290000</v>
      </c>
      <c r="I62" s="8" t="s">
        <v>1694</v>
      </c>
      <c r="J62" s="65" t="s">
        <v>1695</v>
      </c>
    </row>
    <row r="63" spans="1:10" ht="27" customHeight="1" x14ac:dyDescent="0.25">
      <c r="A63" s="146"/>
      <c r="B63" s="75" t="s">
        <v>1072</v>
      </c>
      <c r="C63" s="73" t="s">
        <v>1074</v>
      </c>
      <c r="D63" s="73" t="s">
        <v>54</v>
      </c>
      <c r="E63" s="73" t="s">
        <v>1070</v>
      </c>
      <c r="F63" s="73" t="s">
        <v>15</v>
      </c>
      <c r="G63" s="15" t="s">
        <v>1076</v>
      </c>
      <c r="H63" s="31">
        <v>390000</v>
      </c>
      <c r="I63" s="8" t="s">
        <v>1694</v>
      </c>
      <c r="J63" s="65" t="s">
        <v>1695</v>
      </c>
    </row>
    <row r="64" spans="1:10" ht="27" customHeight="1" x14ac:dyDescent="0.25">
      <c r="A64" s="146"/>
      <c r="B64" s="75" t="s">
        <v>1073</v>
      </c>
      <c r="C64" s="73" t="s">
        <v>1075</v>
      </c>
      <c r="D64" s="10" t="s">
        <v>55</v>
      </c>
      <c r="E64" s="73" t="s">
        <v>1070</v>
      </c>
      <c r="F64" s="73" t="s">
        <v>15</v>
      </c>
      <c r="G64" s="15" t="s">
        <v>1076</v>
      </c>
      <c r="H64" s="31">
        <v>390000</v>
      </c>
      <c r="I64" s="8" t="s">
        <v>1694</v>
      </c>
      <c r="J64" s="65" t="s">
        <v>1695</v>
      </c>
    </row>
    <row r="65" spans="1:12" ht="27" customHeight="1" x14ac:dyDescent="0.25">
      <c r="A65" s="147"/>
      <c r="B65" s="79" t="s">
        <v>1819</v>
      </c>
      <c r="C65" s="86" t="s">
        <v>497</v>
      </c>
      <c r="D65" s="10" t="s">
        <v>56</v>
      </c>
      <c r="E65" s="86" t="s">
        <v>1070</v>
      </c>
      <c r="F65" s="86" t="s">
        <v>15</v>
      </c>
      <c r="G65" s="15" t="s">
        <v>526</v>
      </c>
      <c r="H65" s="31">
        <v>596500</v>
      </c>
      <c r="I65" s="8" t="s">
        <v>1694</v>
      </c>
      <c r="J65" s="65" t="s">
        <v>1695</v>
      </c>
      <c r="L65" s="94"/>
    </row>
    <row r="66" spans="1:12" ht="20.100000000000001" customHeight="1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</row>
    <row r="67" spans="1:12" ht="39.950000000000003" customHeight="1" x14ac:dyDescent="0.25">
      <c r="A67" s="117" t="s">
        <v>1463</v>
      </c>
      <c r="B67" s="118"/>
      <c r="C67" s="118"/>
      <c r="D67" s="118"/>
      <c r="E67" s="118"/>
      <c r="F67" s="118"/>
      <c r="G67" s="118"/>
      <c r="H67" s="118"/>
      <c r="I67" s="118"/>
      <c r="J67" s="118"/>
    </row>
    <row r="68" spans="1:12" ht="30" customHeight="1" x14ac:dyDescent="0.25">
      <c r="A68" s="73"/>
      <c r="B68" s="39" t="s">
        <v>2</v>
      </c>
      <c r="C68" s="4" t="s">
        <v>48</v>
      </c>
      <c r="D68" s="4" t="s">
        <v>49</v>
      </c>
      <c r="E68" s="39" t="s">
        <v>9</v>
      </c>
      <c r="F68" s="39" t="s">
        <v>10</v>
      </c>
      <c r="G68" s="4" t="s">
        <v>11</v>
      </c>
      <c r="H68" s="4" t="s">
        <v>17</v>
      </c>
      <c r="I68" s="4" t="s">
        <v>12</v>
      </c>
      <c r="J68" s="4" t="s">
        <v>18</v>
      </c>
    </row>
    <row r="69" spans="1:12" ht="30" customHeight="1" x14ac:dyDescent="0.25">
      <c r="A69" s="124"/>
      <c r="B69" s="75" t="s">
        <v>425</v>
      </c>
      <c r="C69" s="73" t="s">
        <v>435</v>
      </c>
      <c r="D69" s="73" t="s">
        <v>54</v>
      </c>
      <c r="E69" s="73" t="s">
        <v>31</v>
      </c>
      <c r="F69" s="73" t="s">
        <v>13</v>
      </c>
      <c r="G69" s="73" t="s">
        <v>433</v>
      </c>
      <c r="H69" s="7">
        <v>50900</v>
      </c>
      <c r="I69" s="8">
        <v>0.3</v>
      </c>
      <c r="J69" s="9">
        <f>CEILING(H69*0.7,10)</f>
        <v>35630</v>
      </c>
    </row>
    <row r="70" spans="1:12" ht="30" customHeight="1" x14ac:dyDescent="0.25">
      <c r="A70" s="124"/>
      <c r="B70" s="75" t="s">
        <v>426</v>
      </c>
      <c r="C70" s="73" t="s">
        <v>52</v>
      </c>
      <c r="D70" s="73" t="s">
        <v>54</v>
      </c>
      <c r="E70" s="73" t="s">
        <v>31</v>
      </c>
      <c r="F70" s="73" t="s">
        <v>13</v>
      </c>
      <c r="G70" s="73" t="s">
        <v>433</v>
      </c>
      <c r="H70" s="7">
        <v>59900</v>
      </c>
      <c r="I70" s="8">
        <v>0.3</v>
      </c>
      <c r="J70" s="9">
        <f t="shared" ref="J70:J75" si="1">CEILING(H70*0.7,10)</f>
        <v>41930</v>
      </c>
    </row>
    <row r="71" spans="1:12" ht="30" customHeight="1" x14ac:dyDescent="0.25">
      <c r="A71" s="124"/>
      <c r="B71" s="75" t="s">
        <v>427</v>
      </c>
      <c r="C71" s="73" t="s">
        <v>58</v>
      </c>
      <c r="D71" s="73" t="s">
        <v>54</v>
      </c>
      <c r="E71" s="73" t="s">
        <v>31</v>
      </c>
      <c r="F71" s="73" t="s">
        <v>13</v>
      </c>
      <c r="G71" s="73" t="s">
        <v>433</v>
      </c>
      <c r="H71" s="7">
        <v>61900</v>
      </c>
      <c r="I71" s="8">
        <v>0.3</v>
      </c>
      <c r="J71" s="9">
        <f t="shared" si="1"/>
        <v>43330</v>
      </c>
    </row>
    <row r="72" spans="1:12" ht="30" customHeight="1" x14ac:dyDescent="0.25">
      <c r="A72" s="124"/>
      <c r="B72" s="77" t="s">
        <v>431</v>
      </c>
      <c r="C72" s="73" t="s">
        <v>405</v>
      </c>
      <c r="D72" s="73" t="s">
        <v>54</v>
      </c>
      <c r="E72" s="73" t="s">
        <v>31</v>
      </c>
      <c r="F72" s="73" t="s">
        <v>13</v>
      </c>
      <c r="G72" s="73" t="s">
        <v>433</v>
      </c>
      <c r="H72" s="7">
        <v>70900</v>
      </c>
      <c r="I72" s="8">
        <v>0.3</v>
      </c>
      <c r="J72" s="9">
        <f t="shared" si="1"/>
        <v>49630</v>
      </c>
    </row>
    <row r="73" spans="1:12" ht="30" customHeight="1" x14ac:dyDescent="0.25">
      <c r="A73" s="124"/>
      <c r="B73" s="75" t="s">
        <v>428</v>
      </c>
      <c r="C73" s="73" t="s">
        <v>436</v>
      </c>
      <c r="D73" s="73" t="s">
        <v>55</v>
      </c>
      <c r="E73" s="73" t="s">
        <v>31</v>
      </c>
      <c r="F73" s="73" t="s">
        <v>13</v>
      </c>
      <c r="G73" s="73" t="s">
        <v>434</v>
      </c>
      <c r="H73" s="7">
        <v>50900</v>
      </c>
      <c r="I73" s="8">
        <v>0.3</v>
      </c>
      <c r="J73" s="9">
        <f t="shared" si="1"/>
        <v>35630</v>
      </c>
    </row>
    <row r="74" spans="1:12" ht="30" customHeight="1" x14ac:dyDescent="0.25">
      <c r="A74" s="124"/>
      <c r="B74" s="75" t="s">
        <v>429</v>
      </c>
      <c r="C74" s="73" t="s">
        <v>64</v>
      </c>
      <c r="D74" s="73" t="s">
        <v>55</v>
      </c>
      <c r="E74" s="73" t="s">
        <v>31</v>
      </c>
      <c r="F74" s="73" t="s">
        <v>13</v>
      </c>
      <c r="G74" s="73" t="s">
        <v>434</v>
      </c>
      <c r="H74" s="7">
        <v>59900</v>
      </c>
      <c r="I74" s="8">
        <v>0.3</v>
      </c>
      <c r="J74" s="9">
        <f t="shared" si="1"/>
        <v>41930</v>
      </c>
    </row>
    <row r="75" spans="1:12" ht="30" customHeight="1" x14ac:dyDescent="0.25">
      <c r="A75" s="124"/>
      <c r="B75" s="75" t="s">
        <v>430</v>
      </c>
      <c r="C75" s="73" t="s">
        <v>105</v>
      </c>
      <c r="D75" s="73" t="s">
        <v>55</v>
      </c>
      <c r="E75" s="73" t="s">
        <v>31</v>
      </c>
      <c r="F75" s="73" t="s">
        <v>13</v>
      </c>
      <c r="G75" s="73" t="s">
        <v>434</v>
      </c>
      <c r="H75" s="7">
        <v>61900</v>
      </c>
      <c r="I75" s="8">
        <v>0.3</v>
      </c>
      <c r="J75" s="9">
        <f t="shared" si="1"/>
        <v>43330</v>
      </c>
    </row>
    <row r="76" spans="1:12" ht="30" customHeight="1" x14ac:dyDescent="0.25">
      <c r="A76" s="124"/>
      <c r="B76" s="75" t="s">
        <v>432</v>
      </c>
      <c r="C76" s="73" t="s">
        <v>437</v>
      </c>
      <c r="D76" s="73" t="s">
        <v>55</v>
      </c>
      <c r="E76" s="73" t="s">
        <v>31</v>
      </c>
      <c r="F76" s="73" t="s">
        <v>13</v>
      </c>
      <c r="G76" s="73" t="s">
        <v>434</v>
      </c>
      <c r="H76" s="7">
        <v>70900</v>
      </c>
      <c r="I76" s="8">
        <v>0.3</v>
      </c>
      <c r="J76" s="9">
        <f>CEILING(H76*0.7,10)</f>
        <v>49630</v>
      </c>
    </row>
    <row r="77" spans="1:12" ht="20.100000000000001" customHeight="1" x14ac:dyDescent="0.25">
      <c r="A77" s="131"/>
      <c r="B77" s="131"/>
      <c r="C77" s="131"/>
      <c r="D77" s="131"/>
      <c r="E77" s="131"/>
      <c r="F77" s="131"/>
      <c r="G77" s="131"/>
      <c r="H77" s="131"/>
      <c r="I77" s="131"/>
      <c r="J77" s="131"/>
    </row>
    <row r="78" spans="1:12" ht="39.950000000000003" customHeight="1" x14ac:dyDescent="0.25">
      <c r="A78" s="117" t="s">
        <v>1471</v>
      </c>
      <c r="B78" s="118"/>
      <c r="C78" s="118"/>
      <c r="D78" s="118"/>
      <c r="E78" s="118"/>
      <c r="F78" s="118"/>
      <c r="G78" s="118"/>
      <c r="H78" s="118"/>
      <c r="I78" s="118"/>
      <c r="J78" s="118"/>
    </row>
    <row r="79" spans="1:12" ht="30" customHeight="1" x14ac:dyDescent="0.25">
      <c r="A79" s="73"/>
      <c r="B79" s="39" t="s">
        <v>2</v>
      </c>
      <c r="C79" s="4" t="s">
        <v>48</v>
      </c>
      <c r="D79" s="4" t="s">
        <v>49</v>
      </c>
      <c r="E79" s="39" t="s">
        <v>9</v>
      </c>
      <c r="F79" s="39" t="s">
        <v>10</v>
      </c>
      <c r="G79" s="4" t="s">
        <v>11</v>
      </c>
      <c r="H79" s="4" t="s">
        <v>17</v>
      </c>
      <c r="I79" s="4" t="s">
        <v>12</v>
      </c>
      <c r="J79" s="4" t="s">
        <v>18</v>
      </c>
    </row>
    <row r="80" spans="1:12" ht="39.950000000000003" customHeight="1" x14ac:dyDescent="0.25">
      <c r="A80" s="124"/>
      <c r="B80" s="75" t="s">
        <v>438</v>
      </c>
      <c r="C80" s="73" t="s">
        <v>435</v>
      </c>
      <c r="D80" s="73" t="s">
        <v>54</v>
      </c>
      <c r="E80" s="73" t="s">
        <v>31</v>
      </c>
      <c r="F80" s="73" t="s">
        <v>13</v>
      </c>
      <c r="G80" s="73" t="s">
        <v>433</v>
      </c>
      <c r="H80" s="7">
        <v>66900</v>
      </c>
      <c r="I80" s="8">
        <v>0.3</v>
      </c>
      <c r="J80" s="9">
        <f t="shared" ref="J80:J85" si="2">CEILING(H80*0.7,10)</f>
        <v>46830</v>
      </c>
    </row>
    <row r="81" spans="1:10" ht="39.950000000000003" customHeight="1" x14ac:dyDescent="0.25">
      <c r="A81" s="124"/>
      <c r="B81" s="75" t="s">
        <v>439</v>
      </c>
      <c r="C81" s="73" t="s">
        <v>52</v>
      </c>
      <c r="D81" s="73" t="s">
        <v>54</v>
      </c>
      <c r="E81" s="73" t="s">
        <v>31</v>
      </c>
      <c r="F81" s="73" t="s">
        <v>13</v>
      </c>
      <c r="G81" s="73" t="s">
        <v>433</v>
      </c>
      <c r="H81" s="7">
        <v>69900</v>
      </c>
      <c r="I81" s="8">
        <v>0.3</v>
      </c>
      <c r="J81" s="9">
        <f t="shared" si="2"/>
        <v>48930</v>
      </c>
    </row>
    <row r="82" spans="1:10" ht="39.950000000000003" customHeight="1" x14ac:dyDescent="0.25">
      <c r="A82" s="124"/>
      <c r="B82" s="75" t="s">
        <v>440</v>
      </c>
      <c r="C82" s="73" t="s">
        <v>58</v>
      </c>
      <c r="D82" s="73" t="s">
        <v>54</v>
      </c>
      <c r="E82" s="73" t="s">
        <v>31</v>
      </c>
      <c r="F82" s="73" t="s">
        <v>13</v>
      </c>
      <c r="G82" s="73" t="s">
        <v>433</v>
      </c>
      <c r="H82" s="7">
        <v>73900</v>
      </c>
      <c r="I82" s="8">
        <v>0.3</v>
      </c>
      <c r="J82" s="9">
        <f t="shared" si="2"/>
        <v>51730</v>
      </c>
    </row>
    <row r="83" spans="1:10" ht="39.950000000000003" customHeight="1" x14ac:dyDescent="0.25">
      <c r="A83" s="124"/>
      <c r="B83" s="75" t="s">
        <v>441</v>
      </c>
      <c r="C83" s="73" t="s">
        <v>436</v>
      </c>
      <c r="D83" s="73" t="s">
        <v>55</v>
      </c>
      <c r="E83" s="73" t="s">
        <v>31</v>
      </c>
      <c r="F83" s="73" t="s">
        <v>13</v>
      </c>
      <c r="G83" s="73" t="s">
        <v>434</v>
      </c>
      <c r="H83" s="7">
        <v>66900</v>
      </c>
      <c r="I83" s="8">
        <v>0.3</v>
      </c>
      <c r="J83" s="9">
        <f t="shared" si="2"/>
        <v>46830</v>
      </c>
    </row>
    <row r="84" spans="1:10" ht="39.950000000000003" customHeight="1" x14ac:dyDescent="0.25">
      <c r="A84" s="124"/>
      <c r="B84" s="75" t="s">
        <v>442</v>
      </c>
      <c r="C84" s="73" t="s">
        <v>64</v>
      </c>
      <c r="D84" s="73" t="s">
        <v>55</v>
      </c>
      <c r="E84" s="73" t="s">
        <v>31</v>
      </c>
      <c r="F84" s="73" t="s">
        <v>13</v>
      </c>
      <c r="G84" s="73" t="s">
        <v>434</v>
      </c>
      <c r="H84" s="7">
        <v>69900</v>
      </c>
      <c r="I84" s="8">
        <v>0.3</v>
      </c>
      <c r="J84" s="9">
        <f t="shared" si="2"/>
        <v>48930</v>
      </c>
    </row>
    <row r="85" spans="1:10" ht="39.950000000000003" customHeight="1" x14ac:dyDescent="0.25">
      <c r="A85" s="124"/>
      <c r="B85" s="75" t="s">
        <v>443</v>
      </c>
      <c r="C85" s="73" t="s">
        <v>105</v>
      </c>
      <c r="D85" s="73" t="s">
        <v>55</v>
      </c>
      <c r="E85" s="73" t="s">
        <v>31</v>
      </c>
      <c r="F85" s="73" t="s">
        <v>13</v>
      </c>
      <c r="G85" s="73" t="s">
        <v>434</v>
      </c>
      <c r="H85" s="7">
        <v>73900</v>
      </c>
      <c r="I85" s="8">
        <v>0.3</v>
      </c>
      <c r="J85" s="9">
        <f t="shared" si="2"/>
        <v>51730</v>
      </c>
    </row>
    <row r="86" spans="1:10" ht="20.100000000000001" customHeight="1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</row>
    <row r="87" spans="1:10" ht="39.950000000000003" customHeight="1" x14ac:dyDescent="0.25">
      <c r="A87" s="117" t="s">
        <v>1472</v>
      </c>
      <c r="B87" s="118"/>
      <c r="C87" s="118"/>
      <c r="D87" s="118"/>
      <c r="E87" s="118"/>
      <c r="F87" s="118"/>
      <c r="G87" s="118"/>
      <c r="H87" s="118"/>
      <c r="I87" s="118"/>
      <c r="J87" s="118"/>
    </row>
    <row r="88" spans="1:10" ht="30" customHeight="1" x14ac:dyDescent="0.25">
      <c r="A88" s="73"/>
      <c r="B88" s="39" t="s">
        <v>2</v>
      </c>
      <c r="C88" s="4" t="s">
        <v>48</v>
      </c>
      <c r="D88" s="4" t="s">
        <v>49</v>
      </c>
      <c r="E88" s="39" t="s">
        <v>9</v>
      </c>
      <c r="F88" s="39" t="s">
        <v>10</v>
      </c>
      <c r="G88" s="4" t="s">
        <v>11</v>
      </c>
      <c r="H88" s="4" t="s">
        <v>17</v>
      </c>
      <c r="I88" s="4" t="s">
        <v>12</v>
      </c>
      <c r="J88" s="4" t="s">
        <v>18</v>
      </c>
    </row>
    <row r="89" spans="1:10" ht="21.95" customHeight="1" x14ac:dyDescent="0.25">
      <c r="A89" s="124"/>
      <c r="B89" s="75" t="s">
        <v>444</v>
      </c>
      <c r="C89" s="73" t="s">
        <v>435</v>
      </c>
      <c r="D89" s="73" t="s">
        <v>54</v>
      </c>
      <c r="E89" s="73" t="s">
        <v>31</v>
      </c>
      <c r="F89" s="73" t="s">
        <v>15</v>
      </c>
      <c r="G89" s="73" t="s">
        <v>433</v>
      </c>
      <c r="H89" s="7">
        <v>60900</v>
      </c>
      <c r="I89" s="8">
        <v>0.3</v>
      </c>
      <c r="J89" s="9">
        <f>CEILING(H89*0.7,10)</f>
        <v>42630</v>
      </c>
    </row>
    <row r="90" spans="1:10" ht="21.95" customHeight="1" x14ac:dyDescent="0.25">
      <c r="A90" s="124"/>
      <c r="B90" s="75" t="s">
        <v>445</v>
      </c>
      <c r="C90" s="73" t="s">
        <v>52</v>
      </c>
      <c r="D90" s="73" t="s">
        <v>54</v>
      </c>
      <c r="E90" s="73" t="s">
        <v>31</v>
      </c>
      <c r="F90" s="73" t="s">
        <v>15</v>
      </c>
      <c r="G90" s="73" t="s">
        <v>433</v>
      </c>
      <c r="H90" s="7">
        <v>69900</v>
      </c>
      <c r="I90" s="8">
        <v>0.3</v>
      </c>
      <c r="J90" s="9">
        <f t="shared" ref="J90:J95" si="3">CEILING(H90*0.7,10)</f>
        <v>48930</v>
      </c>
    </row>
    <row r="91" spans="1:10" ht="21.95" customHeight="1" x14ac:dyDescent="0.25">
      <c r="A91" s="124"/>
      <c r="B91" s="75" t="s">
        <v>446</v>
      </c>
      <c r="C91" s="73" t="s">
        <v>58</v>
      </c>
      <c r="D91" s="73" t="s">
        <v>54</v>
      </c>
      <c r="E91" s="73" t="s">
        <v>31</v>
      </c>
      <c r="F91" s="73" t="s">
        <v>15</v>
      </c>
      <c r="G91" s="73" t="s">
        <v>433</v>
      </c>
      <c r="H91" s="7">
        <v>72900</v>
      </c>
      <c r="I91" s="8">
        <v>0.3</v>
      </c>
      <c r="J91" s="9">
        <f t="shared" si="3"/>
        <v>51030</v>
      </c>
    </row>
    <row r="92" spans="1:10" ht="21.95" customHeight="1" x14ac:dyDescent="0.25">
      <c r="A92" s="124"/>
      <c r="B92" s="75" t="s">
        <v>1604</v>
      </c>
      <c r="C92" s="73" t="s">
        <v>405</v>
      </c>
      <c r="D92" s="73" t="s">
        <v>54</v>
      </c>
      <c r="E92" s="73" t="s">
        <v>31</v>
      </c>
      <c r="F92" s="73" t="s">
        <v>15</v>
      </c>
      <c r="G92" s="73" t="s">
        <v>433</v>
      </c>
      <c r="H92" s="7">
        <v>75900</v>
      </c>
      <c r="I92" s="8">
        <v>0.3</v>
      </c>
      <c r="J92" s="9">
        <f t="shared" si="3"/>
        <v>53130</v>
      </c>
    </row>
    <row r="93" spans="1:10" ht="21.95" customHeight="1" x14ac:dyDescent="0.25">
      <c r="A93" s="124"/>
      <c r="B93" s="75" t="s">
        <v>447</v>
      </c>
      <c r="C93" s="73" t="s">
        <v>436</v>
      </c>
      <c r="D93" s="73" t="s">
        <v>55</v>
      </c>
      <c r="E93" s="73" t="s">
        <v>31</v>
      </c>
      <c r="F93" s="73" t="s">
        <v>15</v>
      </c>
      <c r="G93" s="73" t="s">
        <v>434</v>
      </c>
      <c r="H93" s="7">
        <v>60900</v>
      </c>
      <c r="I93" s="8">
        <v>0.3</v>
      </c>
      <c r="J93" s="9">
        <f t="shared" si="3"/>
        <v>42630</v>
      </c>
    </row>
    <row r="94" spans="1:10" ht="21.95" customHeight="1" x14ac:dyDescent="0.25">
      <c r="A94" s="124"/>
      <c r="B94" s="75" t="s">
        <v>448</v>
      </c>
      <c r="C94" s="73" t="s">
        <v>64</v>
      </c>
      <c r="D94" s="73" t="s">
        <v>55</v>
      </c>
      <c r="E94" s="73" t="s">
        <v>31</v>
      </c>
      <c r="F94" s="73" t="s">
        <v>15</v>
      </c>
      <c r="G94" s="73" t="s">
        <v>434</v>
      </c>
      <c r="H94" s="7">
        <v>69900</v>
      </c>
      <c r="I94" s="8">
        <v>0.3</v>
      </c>
      <c r="J94" s="9">
        <f t="shared" si="3"/>
        <v>48930</v>
      </c>
    </row>
    <row r="95" spans="1:10" ht="21.95" customHeight="1" x14ac:dyDescent="0.25">
      <c r="A95" s="124"/>
      <c r="B95" s="75" t="s">
        <v>449</v>
      </c>
      <c r="C95" s="73" t="s">
        <v>105</v>
      </c>
      <c r="D95" s="73" t="s">
        <v>55</v>
      </c>
      <c r="E95" s="73" t="s">
        <v>31</v>
      </c>
      <c r="F95" s="73" t="s">
        <v>15</v>
      </c>
      <c r="G95" s="73" t="s">
        <v>434</v>
      </c>
      <c r="H95" s="7">
        <v>72900</v>
      </c>
      <c r="I95" s="8">
        <v>0.3</v>
      </c>
      <c r="J95" s="9">
        <f t="shared" si="3"/>
        <v>51030</v>
      </c>
    </row>
    <row r="96" spans="1:10" ht="21.95" customHeight="1" x14ac:dyDescent="0.25">
      <c r="A96" s="124"/>
      <c r="B96" s="77" t="s">
        <v>1605</v>
      </c>
      <c r="C96" s="73" t="s">
        <v>437</v>
      </c>
      <c r="D96" s="73" t="s">
        <v>55</v>
      </c>
      <c r="E96" s="73" t="s">
        <v>31</v>
      </c>
      <c r="F96" s="73" t="s">
        <v>15</v>
      </c>
      <c r="G96" s="73" t="s">
        <v>434</v>
      </c>
      <c r="H96" s="7">
        <v>75900</v>
      </c>
      <c r="I96" s="8">
        <v>0.3</v>
      </c>
      <c r="J96" s="9">
        <f>CEILING(H96*0.7,10)</f>
        <v>53130</v>
      </c>
    </row>
    <row r="97" spans="1:10" ht="20.100000000000001" customHeight="1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</row>
    <row r="98" spans="1:10" ht="39.950000000000003" customHeight="1" x14ac:dyDescent="0.25">
      <c r="A98" s="117" t="s">
        <v>1473</v>
      </c>
      <c r="B98" s="118"/>
      <c r="C98" s="118"/>
      <c r="D98" s="118"/>
      <c r="E98" s="118"/>
      <c r="F98" s="118"/>
      <c r="G98" s="118"/>
      <c r="H98" s="118"/>
      <c r="I98" s="118"/>
      <c r="J98" s="118"/>
    </row>
    <row r="99" spans="1:10" ht="30" customHeight="1" x14ac:dyDescent="0.25">
      <c r="A99" s="73"/>
      <c r="B99" s="39" t="s">
        <v>2</v>
      </c>
      <c r="C99" s="4" t="s">
        <v>48</v>
      </c>
      <c r="D99" s="4" t="s">
        <v>49</v>
      </c>
      <c r="E99" s="39" t="s">
        <v>9</v>
      </c>
      <c r="F99" s="39" t="s">
        <v>10</v>
      </c>
      <c r="G99" s="4" t="s">
        <v>11</v>
      </c>
      <c r="H99" s="4" t="s">
        <v>17</v>
      </c>
      <c r="I99" s="4" t="s">
        <v>12</v>
      </c>
      <c r="J99" s="4" t="s">
        <v>18</v>
      </c>
    </row>
    <row r="100" spans="1:10" ht="21.95" customHeight="1" x14ac:dyDescent="0.25">
      <c r="A100" s="124"/>
      <c r="B100" s="75" t="s">
        <v>450</v>
      </c>
      <c r="C100" s="73" t="s">
        <v>435</v>
      </c>
      <c r="D100" s="73" t="s">
        <v>54</v>
      </c>
      <c r="E100" s="73" t="s">
        <v>31</v>
      </c>
      <c r="F100" s="73" t="s">
        <v>15</v>
      </c>
      <c r="G100" s="73" t="s">
        <v>433</v>
      </c>
      <c r="H100" s="7">
        <v>79900</v>
      </c>
      <c r="I100" s="8">
        <v>0.3</v>
      </c>
      <c r="J100" s="9">
        <f t="shared" ref="J100:J105" si="4">CEILING(H100*0.7,10)</f>
        <v>55930</v>
      </c>
    </row>
    <row r="101" spans="1:10" ht="21.95" customHeight="1" x14ac:dyDescent="0.25">
      <c r="A101" s="124"/>
      <c r="B101" s="75" t="s">
        <v>451</v>
      </c>
      <c r="C101" s="73" t="s">
        <v>52</v>
      </c>
      <c r="D101" s="73" t="s">
        <v>54</v>
      </c>
      <c r="E101" s="73" t="s">
        <v>31</v>
      </c>
      <c r="F101" s="73" t="s">
        <v>15</v>
      </c>
      <c r="G101" s="73" t="s">
        <v>433</v>
      </c>
      <c r="H101" s="7">
        <v>89900</v>
      </c>
      <c r="I101" s="8">
        <v>0.3</v>
      </c>
      <c r="J101" s="9">
        <f t="shared" si="4"/>
        <v>62930</v>
      </c>
    </row>
    <row r="102" spans="1:10" ht="21.95" customHeight="1" x14ac:dyDescent="0.25">
      <c r="A102" s="124"/>
      <c r="B102" s="75" t="s">
        <v>452</v>
      </c>
      <c r="C102" s="73" t="s">
        <v>58</v>
      </c>
      <c r="D102" s="73" t="s">
        <v>54</v>
      </c>
      <c r="E102" s="73" t="s">
        <v>31</v>
      </c>
      <c r="F102" s="73" t="s">
        <v>15</v>
      </c>
      <c r="G102" s="73" t="s">
        <v>433</v>
      </c>
      <c r="H102" s="7">
        <v>93900</v>
      </c>
      <c r="I102" s="8">
        <v>0.3</v>
      </c>
      <c r="J102" s="9">
        <f t="shared" si="4"/>
        <v>65730</v>
      </c>
    </row>
    <row r="103" spans="1:10" ht="21.95" customHeight="1" x14ac:dyDescent="0.25">
      <c r="A103" s="124"/>
      <c r="B103" s="75" t="s">
        <v>453</v>
      </c>
      <c r="C103" s="73" t="s">
        <v>436</v>
      </c>
      <c r="D103" s="73" t="s">
        <v>55</v>
      </c>
      <c r="E103" s="73" t="s">
        <v>31</v>
      </c>
      <c r="F103" s="73" t="s">
        <v>15</v>
      </c>
      <c r="G103" s="73" t="s">
        <v>434</v>
      </c>
      <c r="H103" s="7">
        <v>79900</v>
      </c>
      <c r="I103" s="8">
        <v>0.3</v>
      </c>
      <c r="J103" s="9">
        <f t="shared" si="4"/>
        <v>55930</v>
      </c>
    </row>
    <row r="104" spans="1:10" ht="21.95" customHeight="1" x14ac:dyDescent="0.25">
      <c r="A104" s="124"/>
      <c r="B104" s="75" t="s">
        <v>454</v>
      </c>
      <c r="C104" s="73" t="s">
        <v>64</v>
      </c>
      <c r="D104" s="73" t="s">
        <v>55</v>
      </c>
      <c r="E104" s="73" t="s">
        <v>31</v>
      </c>
      <c r="F104" s="73" t="s">
        <v>15</v>
      </c>
      <c r="G104" s="73" t="s">
        <v>434</v>
      </c>
      <c r="H104" s="7">
        <v>89900</v>
      </c>
      <c r="I104" s="8">
        <v>0.3</v>
      </c>
      <c r="J104" s="9">
        <f t="shared" si="4"/>
        <v>62930</v>
      </c>
    </row>
    <row r="105" spans="1:10" ht="21.95" customHeight="1" x14ac:dyDescent="0.25">
      <c r="A105" s="124"/>
      <c r="B105" s="75" t="s">
        <v>455</v>
      </c>
      <c r="C105" s="73" t="s">
        <v>105</v>
      </c>
      <c r="D105" s="73" t="s">
        <v>55</v>
      </c>
      <c r="E105" s="73" t="s">
        <v>31</v>
      </c>
      <c r="F105" s="73" t="s">
        <v>15</v>
      </c>
      <c r="G105" s="73" t="s">
        <v>434</v>
      </c>
      <c r="H105" s="7">
        <v>93900</v>
      </c>
      <c r="I105" s="8">
        <v>0.3</v>
      </c>
      <c r="J105" s="9">
        <f t="shared" si="4"/>
        <v>65730</v>
      </c>
    </row>
    <row r="106" spans="1:10" ht="20.100000000000001" customHeight="1" x14ac:dyDescent="0.25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</row>
    <row r="107" spans="1:10" ht="39.950000000000003" customHeight="1" x14ac:dyDescent="0.25">
      <c r="A107" s="117" t="s">
        <v>1642</v>
      </c>
      <c r="B107" s="118"/>
      <c r="C107" s="118"/>
      <c r="D107" s="118"/>
      <c r="E107" s="118"/>
      <c r="F107" s="118"/>
      <c r="G107" s="118"/>
      <c r="H107" s="118"/>
      <c r="I107" s="118"/>
      <c r="J107" s="118"/>
    </row>
    <row r="108" spans="1:10" ht="30" customHeight="1" x14ac:dyDescent="0.25">
      <c r="A108" s="73"/>
      <c r="B108" s="39" t="s">
        <v>2</v>
      </c>
      <c r="C108" s="4" t="s">
        <v>48</v>
      </c>
      <c r="D108" s="4" t="s">
        <v>49</v>
      </c>
      <c r="E108" s="39" t="s">
        <v>9</v>
      </c>
      <c r="F108" s="39" t="s">
        <v>10</v>
      </c>
      <c r="G108" s="4" t="s">
        <v>11</v>
      </c>
      <c r="H108" s="4" t="s">
        <v>17</v>
      </c>
      <c r="I108" s="4" t="s">
        <v>12</v>
      </c>
      <c r="J108" s="4" t="s">
        <v>18</v>
      </c>
    </row>
    <row r="109" spans="1:10" ht="24.95" customHeight="1" x14ac:dyDescent="0.25">
      <c r="A109" s="124"/>
      <c r="B109" s="75" t="s">
        <v>456</v>
      </c>
      <c r="C109" s="73" t="s">
        <v>290</v>
      </c>
      <c r="D109" s="73" t="s">
        <v>54</v>
      </c>
      <c r="E109" s="73" t="s">
        <v>31</v>
      </c>
      <c r="F109" s="73" t="s">
        <v>15</v>
      </c>
      <c r="G109" s="15" t="s">
        <v>30</v>
      </c>
      <c r="H109" s="7">
        <v>103900</v>
      </c>
      <c r="I109" s="8">
        <v>0.3</v>
      </c>
      <c r="J109" s="9">
        <f>CEILING(H109*0.7,10)</f>
        <v>72730</v>
      </c>
    </row>
    <row r="110" spans="1:10" ht="24.95" customHeight="1" x14ac:dyDescent="0.25">
      <c r="A110" s="124"/>
      <c r="B110" s="75" t="s">
        <v>457</v>
      </c>
      <c r="C110" s="73" t="s">
        <v>466</v>
      </c>
      <c r="D110" s="73" t="s">
        <v>54</v>
      </c>
      <c r="E110" s="73" t="s">
        <v>31</v>
      </c>
      <c r="F110" s="73" t="s">
        <v>15</v>
      </c>
      <c r="G110" s="15" t="s">
        <v>30</v>
      </c>
      <c r="H110" s="7">
        <v>113900</v>
      </c>
      <c r="I110" s="8">
        <v>0.3</v>
      </c>
      <c r="J110" s="9">
        <f t="shared" ref="J110:J117" si="5">CEILING(H110*0.7,10)</f>
        <v>79730</v>
      </c>
    </row>
    <row r="111" spans="1:10" ht="24.95" customHeight="1" x14ac:dyDescent="0.25">
      <c r="A111" s="124"/>
      <c r="B111" s="75" t="s">
        <v>458</v>
      </c>
      <c r="C111" s="80" t="s">
        <v>185</v>
      </c>
      <c r="D111" s="80" t="s">
        <v>54</v>
      </c>
      <c r="E111" s="80" t="s">
        <v>14</v>
      </c>
      <c r="F111" s="80" t="s">
        <v>15</v>
      </c>
      <c r="G111" s="15" t="s">
        <v>30</v>
      </c>
      <c r="H111" s="7">
        <v>129900</v>
      </c>
      <c r="I111" s="8">
        <v>0.3</v>
      </c>
      <c r="J111" s="9">
        <f t="shared" si="5"/>
        <v>90930</v>
      </c>
    </row>
    <row r="112" spans="1:10" ht="24.95" customHeight="1" x14ac:dyDescent="0.25">
      <c r="A112" s="124"/>
      <c r="B112" s="75" t="s">
        <v>459</v>
      </c>
      <c r="C112" s="73" t="s">
        <v>343</v>
      </c>
      <c r="D112" s="73" t="s">
        <v>54</v>
      </c>
      <c r="E112" s="73" t="s">
        <v>14</v>
      </c>
      <c r="F112" s="73" t="s">
        <v>15</v>
      </c>
      <c r="G112" s="15" t="s">
        <v>30</v>
      </c>
      <c r="H112" s="7">
        <v>139900</v>
      </c>
      <c r="I112" s="8">
        <v>0.3</v>
      </c>
      <c r="J112" s="9">
        <f t="shared" si="5"/>
        <v>97930</v>
      </c>
    </row>
    <row r="113" spans="1:10" ht="24.95" customHeight="1" x14ac:dyDescent="0.25">
      <c r="A113" s="124"/>
      <c r="B113" s="75" t="s">
        <v>460</v>
      </c>
      <c r="C113" s="73" t="s">
        <v>216</v>
      </c>
      <c r="D113" s="73" t="s">
        <v>54</v>
      </c>
      <c r="E113" s="73" t="s">
        <v>14</v>
      </c>
      <c r="F113" s="73" t="s">
        <v>15</v>
      </c>
      <c r="G113" s="15" t="s">
        <v>30</v>
      </c>
      <c r="H113" s="7">
        <v>137900</v>
      </c>
      <c r="I113" s="8">
        <v>0.3</v>
      </c>
      <c r="J113" s="9">
        <f t="shared" si="5"/>
        <v>96530</v>
      </c>
    </row>
    <row r="114" spans="1:10" ht="24.95" customHeight="1" x14ac:dyDescent="0.25">
      <c r="A114" s="124"/>
      <c r="B114" s="75" t="s">
        <v>461</v>
      </c>
      <c r="C114" s="73" t="s">
        <v>217</v>
      </c>
      <c r="D114" s="73" t="s">
        <v>55</v>
      </c>
      <c r="E114" s="73" t="s">
        <v>31</v>
      </c>
      <c r="F114" s="73" t="s">
        <v>15</v>
      </c>
      <c r="G114" s="15" t="s">
        <v>467</v>
      </c>
      <c r="H114" s="7">
        <v>103900</v>
      </c>
      <c r="I114" s="8">
        <v>0.3</v>
      </c>
      <c r="J114" s="9">
        <f t="shared" si="5"/>
        <v>72730</v>
      </c>
    </row>
    <row r="115" spans="1:10" ht="24.95" customHeight="1" x14ac:dyDescent="0.25">
      <c r="A115" s="124"/>
      <c r="B115" s="75" t="s">
        <v>462</v>
      </c>
      <c r="C115" s="73" t="s">
        <v>66</v>
      </c>
      <c r="D115" s="73" t="s">
        <v>55</v>
      </c>
      <c r="E115" s="73" t="s">
        <v>31</v>
      </c>
      <c r="F115" s="73" t="s">
        <v>15</v>
      </c>
      <c r="G115" s="15" t="s">
        <v>467</v>
      </c>
      <c r="H115" s="7">
        <v>113900</v>
      </c>
      <c r="I115" s="8">
        <v>0.3</v>
      </c>
      <c r="J115" s="9">
        <f t="shared" si="5"/>
        <v>79730</v>
      </c>
    </row>
    <row r="116" spans="1:10" ht="24.95" customHeight="1" x14ac:dyDescent="0.25">
      <c r="A116" s="124"/>
      <c r="B116" s="75" t="s">
        <v>463</v>
      </c>
      <c r="C116" s="73" t="s">
        <v>67</v>
      </c>
      <c r="D116" s="73" t="s">
        <v>55</v>
      </c>
      <c r="E116" s="73" t="s">
        <v>14</v>
      </c>
      <c r="F116" s="73" t="s">
        <v>15</v>
      </c>
      <c r="G116" s="15" t="s">
        <v>467</v>
      </c>
      <c r="H116" s="7">
        <v>129900</v>
      </c>
      <c r="I116" s="8">
        <v>0.3</v>
      </c>
      <c r="J116" s="9">
        <f t="shared" si="5"/>
        <v>90930</v>
      </c>
    </row>
    <row r="117" spans="1:10" ht="24.95" customHeight="1" x14ac:dyDescent="0.25">
      <c r="A117" s="124"/>
      <c r="B117" s="75" t="s">
        <v>464</v>
      </c>
      <c r="C117" s="73" t="s">
        <v>67</v>
      </c>
      <c r="D117" s="73" t="s">
        <v>56</v>
      </c>
      <c r="E117" s="73" t="s">
        <v>31</v>
      </c>
      <c r="F117" s="73" t="s">
        <v>15</v>
      </c>
      <c r="G117" s="15" t="s">
        <v>467</v>
      </c>
      <c r="H117" s="7">
        <v>119900</v>
      </c>
      <c r="I117" s="8">
        <v>0.3</v>
      </c>
      <c r="J117" s="9">
        <f t="shared" si="5"/>
        <v>83930</v>
      </c>
    </row>
    <row r="118" spans="1:10" ht="24.95" customHeight="1" x14ac:dyDescent="0.25">
      <c r="A118" s="124"/>
      <c r="B118" s="75" t="s">
        <v>465</v>
      </c>
      <c r="C118" s="73" t="s">
        <v>344</v>
      </c>
      <c r="D118" s="73" t="s">
        <v>56</v>
      </c>
      <c r="E118" s="73" t="s">
        <v>31</v>
      </c>
      <c r="F118" s="73" t="s">
        <v>15</v>
      </c>
      <c r="G118" s="15" t="s">
        <v>467</v>
      </c>
      <c r="H118" s="7">
        <v>119900</v>
      </c>
      <c r="I118" s="8">
        <v>0.3</v>
      </c>
      <c r="J118" s="9">
        <f>CEILING(H118*0.7,10)</f>
        <v>83930</v>
      </c>
    </row>
    <row r="119" spans="1:10" ht="20.100000000000001" customHeight="1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</row>
    <row r="120" spans="1:10" ht="39.950000000000003" customHeight="1" x14ac:dyDescent="0.25">
      <c r="A120" s="117" t="s">
        <v>1643</v>
      </c>
      <c r="B120" s="118"/>
      <c r="C120" s="118"/>
      <c r="D120" s="118"/>
      <c r="E120" s="118"/>
      <c r="F120" s="118"/>
      <c r="G120" s="118"/>
      <c r="H120" s="118"/>
      <c r="I120" s="118"/>
      <c r="J120" s="118"/>
    </row>
    <row r="121" spans="1:10" ht="30" customHeight="1" x14ac:dyDescent="0.25">
      <c r="A121" s="73"/>
      <c r="B121" s="39" t="s">
        <v>2</v>
      </c>
      <c r="C121" s="4" t="s">
        <v>48</v>
      </c>
      <c r="D121" s="4" t="s">
        <v>49</v>
      </c>
      <c r="E121" s="39" t="s">
        <v>9</v>
      </c>
      <c r="F121" s="39" t="s">
        <v>10</v>
      </c>
      <c r="G121" s="4" t="s">
        <v>11</v>
      </c>
      <c r="H121" s="4" t="s">
        <v>17</v>
      </c>
      <c r="I121" s="4" t="s">
        <v>12</v>
      </c>
      <c r="J121" s="4" t="s">
        <v>18</v>
      </c>
    </row>
    <row r="122" spans="1:10" ht="20.100000000000001" customHeight="1" x14ac:dyDescent="0.25">
      <c r="A122" s="124"/>
      <c r="B122" s="75" t="s">
        <v>468</v>
      </c>
      <c r="C122" s="73" t="s">
        <v>290</v>
      </c>
      <c r="D122" s="73" t="s">
        <v>54</v>
      </c>
      <c r="E122" s="73" t="s">
        <v>31</v>
      </c>
      <c r="F122" s="73" t="s">
        <v>13</v>
      </c>
      <c r="G122" s="15" t="s">
        <v>30</v>
      </c>
      <c r="H122" s="7">
        <v>93900</v>
      </c>
      <c r="I122" s="8">
        <v>0.3</v>
      </c>
      <c r="J122" s="9">
        <f>CEILING(H122*0.7,10)</f>
        <v>65730</v>
      </c>
    </row>
    <row r="123" spans="1:10" ht="20.100000000000001" customHeight="1" x14ac:dyDescent="0.25">
      <c r="A123" s="124"/>
      <c r="B123" s="75" t="s">
        <v>469</v>
      </c>
      <c r="C123" s="73" t="s">
        <v>291</v>
      </c>
      <c r="D123" s="73" t="s">
        <v>54</v>
      </c>
      <c r="E123" s="73" t="s">
        <v>31</v>
      </c>
      <c r="F123" s="73" t="s">
        <v>13</v>
      </c>
      <c r="G123" s="15" t="s">
        <v>30</v>
      </c>
      <c r="H123" s="7">
        <v>99900</v>
      </c>
      <c r="I123" s="8">
        <v>0.3</v>
      </c>
      <c r="J123" s="9">
        <f t="shared" ref="J123:J133" si="6">CEILING(H123*0.7,10)</f>
        <v>69930</v>
      </c>
    </row>
    <row r="124" spans="1:10" ht="20.100000000000001" customHeight="1" x14ac:dyDescent="0.25">
      <c r="A124" s="124"/>
      <c r="B124" s="75" t="s">
        <v>470</v>
      </c>
      <c r="C124" s="73" t="s">
        <v>466</v>
      </c>
      <c r="D124" s="73" t="s">
        <v>54</v>
      </c>
      <c r="E124" s="73" t="s">
        <v>31</v>
      </c>
      <c r="F124" s="73" t="s">
        <v>13</v>
      </c>
      <c r="G124" s="15" t="s">
        <v>30</v>
      </c>
      <c r="H124" s="7">
        <v>103900</v>
      </c>
      <c r="I124" s="8">
        <v>0.3</v>
      </c>
      <c r="J124" s="9">
        <f t="shared" si="6"/>
        <v>72730</v>
      </c>
    </row>
    <row r="125" spans="1:10" ht="20.100000000000001" customHeight="1" x14ac:dyDescent="0.25">
      <c r="A125" s="124"/>
      <c r="B125" s="75" t="s">
        <v>471</v>
      </c>
      <c r="C125" s="73" t="s">
        <v>185</v>
      </c>
      <c r="D125" s="73" t="s">
        <v>54</v>
      </c>
      <c r="E125" s="73" t="s">
        <v>14</v>
      </c>
      <c r="F125" s="73" t="s">
        <v>13</v>
      </c>
      <c r="G125" s="15" t="s">
        <v>30</v>
      </c>
      <c r="H125" s="7">
        <v>109900</v>
      </c>
      <c r="I125" s="8">
        <v>0.3</v>
      </c>
      <c r="J125" s="9">
        <f t="shared" si="6"/>
        <v>76930</v>
      </c>
    </row>
    <row r="126" spans="1:10" ht="20.100000000000001" customHeight="1" x14ac:dyDescent="0.25">
      <c r="A126" s="124"/>
      <c r="B126" s="75" t="s">
        <v>472</v>
      </c>
      <c r="C126" s="73" t="s">
        <v>343</v>
      </c>
      <c r="D126" s="73" t="s">
        <v>54</v>
      </c>
      <c r="E126" s="73" t="s">
        <v>14</v>
      </c>
      <c r="F126" s="73" t="s">
        <v>13</v>
      </c>
      <c r="G126" s="15" t="s">
        <v>30</v>
      </c>
      <c r="H126" s="7">
        <v>119900</v>
      </c>
      <c r="I126" s="8">
        <v>0.3</v>
      </c>
      <c r="J126" s="9">
        <f t="shared" si="6"/>
        <v>83930</v>
      </c>
    </row>
    <row r="127" spans="1:10" ht="20.100000000000001" customHeight="1" x14ac:dyDescent="0.25">
      <c r="A127" s="124"/>
      <c r="B127" s="75" t="s">
        <v>473</v>
      </c>
      <c r="C127" s="73" t="s">
        <v>216</v>
      </c>
      <c r="D127" s="73" t="s">
        <v>54</v>
      </c>
      <c r="E127" s="73" t="s">
        <v>14</v>
      </c>
      <c r="F127" s="73" t="s">
        <v>13</v>
      </c>
      <c r="G127" s="15" t="s">
        <v>30</v>
      </c>
      <c r="H127" s="7">
        <v>127900</v>
      </c>
      <c r="I127" s="8">
        <v>0.3</v>
      </c>
      <c r="J127" s="9">
        <f t="shared" si="6"/>
        <v>89530</v>
      </c>
    </row>
    <row r="128" spans="1:10" ht="20.100000000000001" customHeight="1" x14ac:dyDescent="0.25">
      <c r="A128" s="124"/>
      <c r="B128" s="75" t="s">
        <v>474</v>
      </c>
      <c r="C128" s="73" t="s">
        <v>481</v>
      </c>
      <c r="D128" s="73" t="s">
        <v>55</v>
      </c>
      <c r="E128" s="73" t="s">
        <v>31</v>
      </c>
      <c r="F128" s="73" t="s">
        <v>13</v>
      </c>
      <c r="G128" s="15" t="s">
        <v>467</v>
      </c>
      <c r="H128" s="7">
        <v>87900</v>
      </c>
      <c r="I128" s="8">
        <v>0.3</v>
      </c>
      <c r="J128" s="9">
        <f t="shared" si="6"/>
        <v>61530</v>
      </c>
    </row>
    <row r="129" spans="1:10" ht="20.100000000000001" customHeight="1" x14ac:dyDescent="0.25">
      <c r="A129" s="124"/>
      <c r="B129" s="75" t="s">
        <v>475</v>
      </c>
      <c r="C129" s="73" t="s">
        <v>217</v>
      </c>
      <c r="D129" s="73" t="s">
        <v>55</v>
      </c>
      <c r="E129" s="73" t="s">
        <v>31</v>
      </c>
      <c r="F129" s="73" t="s">
        <v>13</v>
      </c>
      <c r="G129" s="15" t="s">
        <v>467</v>
      </c>
      <c r="H129" s="7">
        <v>93900</v>
      </c>
      <c r="I129" s="8">
        <v>0.3</v>
      </c>
      <c r="J129" s="9">
        <f t="shared" si="6"/>
        <v>65730</v>
      </c>
    </row>
    <row r="130" spans="1:10" ht="20.100000000000001" customHeight="1" x14ac:dyDescent="0.25">
      <c r="A130" s="124"/>
      <c r="B130" s="75" t="s">
        <v>476</v>
      </c>
      <c r="C130" s="73" t="s">
        <v>65</v>
      </c>
      <c r="D130" s="73" t="s">
        <v>55</v>
      </c>
      <c r="E130" s="73" t="s">
        <v>31</v>
      </c>
      <c r="F130" s="73" t="s">
        <v>13</v>
      </c>
      <c r="G130" s="15" t="s">
        <v>467</v>
      </c>
      <c r="H130" s="7">
        <v>99900</v>
      </c>
      <c r="I130" s="8">
        <v>0.3</v>
      </c>
      <c r="J130" s="9">
        <f t="shared" si="6"/>
        <v>69930</v>
      </c>
    </row>
    <row r="131" spans="1:10" ht="20.100000000000001" customHeight="1" x14ac:dyDescent="0.25">
      <c r="A131" s="124"/>
      <c r="B131" s="75" t="s">
        <v>477</v>
      </c>
      <c r="C131" s="73" t="s">
        <v>66</v>
      </c>
      <c r="D131" s="73" t="s">
        <v>55</v>
      </c>
      <c r="E131" s="73" t="s">
        <v>31</v>
      </c>
      <c r="F131" s="73" t="s">
        <v>13</v>
      </c>
      <c r="G131" s="15" t="s">
        <v>467</v>
      </c>
      <c r="H131" s="7">
        <v>103900</v>
      </c>
      <c r="I131" s="8">
        <v>0.3</v>
      </c>
      <c r="J131" s="9">
        <f t="shared" si="6"/>
        <v>72730</v>
      </c>
    </row>
    <row r="132" spans="1:10" ht="20.100000000000001" customHeight="1" x14ac:dyDescent="0.25">
      <c r="A132" s="124"/>
      <c r="B132" s="75" t="s">
        <v>478</v>
      </c>
      <c r="C132" s="73" t="s">
        <v>67</v>
      </c>
      <c r="D132" s="73" t="s">
        <v>55</v>
      </c>
      <c r="E132" s="73" t="s">
        <v>14</v>
      </c>
      <c r="F132" s="73" t="s">
        <v>13</v>
      </c>
      <c r="G132" s="15" t="s">
        <v>467</v>
      </c>
      <c r="H132" s="7">
        <v>119900</v>
      </c>
      <c r="I132" s="8">
        <v>0.3</v>
      </c>
      <c r="J132" s="9">
        <f t="shared" si="6"/>
        <v>83930</v>
      </c>
    </row>
    <row r="133" spans="1:10" ht="20.100000000000001" customHeight="1" x14ac:dyDescent="0.25">
      <c r="A133" s="124"/>
      <c r="B133" s="75" t="s">
        <v>479</v>
      </c>
      <c r="C133" s="73" t="s">
        <v>67</v>
      </c>
      <c r="D133" s="73" t="s">
        <v>56</v>
      </c>
      <c r="E133" s="73" t="s">
        <v>31</v>
      </c>
      <c r="F133" s="73" t="s">
        <v>13</v>
      </c>
      <c r="G133" s="15" t="s">
        <v>467</v>
      </c>
      <c r="H133" s="7">
        <v>89900</v>
      </c>
      <c r="I133" s="8">
        <v>0.3</v>
      </c>
      <c r="J133" s="9">
        <f t="shared" si="6"/>
        <v>62930</v>
      </c>
    </row>
    <row r="134" spans="1:10" ht="20.100000000000001" customHeight="1" x14ac:dyDescent="0.25">
      <c r="A134" s="124"/>
      <c r="B134" s="75" t="s">
        <v>480</v>
      </c>
      <c r="C134" s="73" t="s">
        <v>344</v>
      </c>
      <c r="D134" s="73" t="s">
        <v>56</v>
      </c>
      <c r="E134" s="73" t="s">
        <v>31</v>
      </c>
      <c r="F134" s="73" t="s">
        <v>13</v>
      </c>
      <c r="G134" s="15" t="s">
        <v>467</v>
      </c>
      <c r="H134" s="7">
        <v>89900</v>
      </c>
      <c r="I134" s="8">
        <v>0.3</v>
      </c>
      <c r="J134" s="9">
        <f>CEILING(H134*0.7,10)</f>
        <v>62930</v>
      </c>
    </row>
    <row r="135" spans="1:10" ht="20.100000000000001" customHeight="1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</row>
    <row r="136" spans="1:10" ht="39.950000000000003" customHeight="1" x14ac:dyDescent="0.25">
      <c r="A136" s="117" t="s">
        <v>1641</v>
      </c>
      <c r="B136" s="118"/>
      <c r="C136" s="118"/>
      <c r="D136" s="118"/>
      <c r="E136" s="118"/>
      <c r="F136" s="118"/>
      <c r="G136" s="118"/>
      <c r="H136" s="118"/>
      <c r="I136" s="118"/>
      <c r="J136" s="118"/>
    </row>
    <row r="137" spans="1:10" ht="30" customHeight="1" x14ac:dyDescent="0.25">
      <c r="A137" s="73"/>
      <c r="B137" s="39" t="s">
        <v>2</v>
      </c>
      <c r="C137" s="4" t="s">
        <v>48</v>
      </c>
      <c r="D137" s="4" t="s">
        <v>49</v>
      </c>
      <c r="E137" s="39" t="s">
        <v>9</v>
      </c>
      <c r="F137" s="39" t="s">
        <v>10</v>
      </c>
      <c r="G137" s="4" t="s">
        <v>11</v>
      </c>
      <c r="H137" s="4" t="s">
        <v>17</v>
      </c>
      <c r="I137" s="4" t="s">
        <v>12</v>
      </c>
      <c r="J137" s="4" t="s">
        <v>18</v>
      </c>
    </row>
    <row r="138" spans="1:10" ht="20.100000000000001" customHeight="1" x14ac:dyDescent="0.25">
      <c r="A138" s="124"/>
      <c r="B138" s="75" t="s">
        <v>482</v>
      </c>
      <c r="C138" s="73" t="s">
        <v>109</v>
      </c>
      <c r="D138" s="73" t="s">
        <v>56</v>
      </c>
      <c r="E138" s="73" t="s">
        <v>31</v>
      </c>
      <c r="F138" s="15" t="s">
        <v>15</v>
      </c>
      <c r="G138" s="15" t="s">
        <v>525</v>
      </c>
      <c r="H138" s="7">
        <v>169900</v>
      </c>
      <c r="I138" s="8">
        <v>0.3</v>
      </c>
      <c r="J138" s="9">
        <f>CEILING(H138*0.7,10)</f>
        <v>118930</v>
      </c>
    </row>
    <row r="139" spans="1:10" ht="20.100000000000001" customHeight="1" x14ac:dyDescent="0.25">
      <c r="A139" s="124"/>
      <c r="B139" s="75" t="s">
        <v>483</v>
      </c>
      <c r="C139" s="73" t="s">
        <v>119</v>
      </c>
      <c r="D139" s="73" t="s">
        <v>56</v>
      </c>
      <c r="E139" s="73" t="s">
        <v>31</v>
      </c>
      <c r="F139" s="15" t="s">
        <v>15</v>
      </c>
      <c r="G139" s="15" t="s">
        <v>525</v>
      </c>
      <c r="H139" s="7">
        <v>199900</v>
      </c>
      <c r="I139" s="8">
        <v>0.3</v>
      </c>
      <c r="J139" s="9">
        <f t="shared" ref="J139:J150" si="7">CEILING(H139*0.7,10)</f>
        <v>139930</v>
      </c>
    </row>
    <row r="140" spans="1:10" ht="20.100000000000001" customHeight="1" x14ac:dyDescent="0.25">
      <c r="A140" s="124"/>
      <c r="B140" s="75" t="s">
        <v>484</v>
      </c>
      <c r="C140" s="73" t="s">
        <v>71</v>
      </c>
      <c r="D140" s="73" t="s">
        <v>56</v>
      </c>
      <c r="E140" s="73" t="s">
        <v>31</v>
      </c>
      <c r="F140" s="15" t="s">
        <v>15</v>
      </c>
      <c r="G140" s="15" t="s">
        <v>525</v>
      </c>
      <c r="H140" s="7">
        <v>239900</v>
      </c>
      <c r="I140" s="8">
        <v>0.3</v>
      </c>
      <c r="J140" s="9">
        <f t="shared" si="7"/>
        <v>167930</v>
      </c>
    </row>
    <row r="141" spans="1:10" ht="20.100000000000001" customHeight="1" x14ac:dyDescent="0.25">
      <c r="A141" s="124"/>
      <c r="B141" s="75" t="s">
        <v>485</v>
      </c>
      <c r="C141" s="73" t="s">
        <v>71</v>
      </c>
      <c r="D141" s="73" t="s">
        <v>56</v>
      </c>
      <c r="E141" s="73" t="s">
        <v>31</v>
      </c>
      <c r="F141" s="15" t="s">
        <v>15</v>
      </c>
      <c r="G141" s="15" t="s">
        <v>525</v>
      </c>
      <c r="H141" s="7">
        <v>249900</v>
      </c>
      <c r="I141" s="8">
        <v>0.3</v>
      </c>
      <c r="J141" s="9">
        <f t="shared" si="7"/>
        <v>174930</v>
      </c>
    </row>
    <row r="142" spans="1:10" ht="20.100000000000001" customHeight="1" x14ac:dyDescent="0.25">
      <c r="A142" s="124"/>
      <c r="B142" s="75" t="s">
        <v>486</v>
      </c>
      <c r="C142" s="73" t="s">
        <v>498</v>
      </c>
      <c r="D142" s="73" t="s">
        <v>171</v>
      </c>
      <c r="E142" s="73" t="s">
        <v>31</v>
      </c>
      <c r="F142" s="15" t="s">
        <v>15</v>
      </c>
      <c r="G142" s="15" t="s">
        <v>525</v>
      </c>
      <c r="H142" s="7">
        <v>169900</v>
      </c>
      <c r="I142" s="8">
        <v>0.3</v>
      </c>
      <c r="J142" s="9">
        <f t="shared" si="7"/>
        <v>118930</v>
      </c>
    </row>
    <row r="143" spans="1:10" ht="20.100000000000001" customHeight="1" x14ac:dyDescent="0.25">
      <c r="A143" s="124"/>
      <c r="B143" s="75" t="s">
        <v>487</v>
      </c>
      <c r="C143" s="73" t="s">
        <v>498</v>
      </c>
      <c r="D143" s="73" t="s">
        <v>171</v>
      </c>
      <c r="E143" s="73" t="s">
        <v>31</v>
      </c>
      <c r="F143" s="15" t="s">
        <v>15</v>
      </c>
      <c r="G143" s="15" t="s">
        <v>525</v>
      </c>
      <c r="H143" s="7">
        <v>179900</v>
      </c>
      <c r="I143" s="8">
        <v>0.3</v>
      </c>
      <c r="J143" s="9">
        <f t="shared" si="7"/>
        <v>125930</v>
      </c>
    </row>
    <row r="144" spans="1:10" ht="20.100000000000001" customHeight="1" x14ac:dyDescent="0.25">
      <c r="A144" s="124"/>
      <c r="B144" s="75" t="s">
        <v>488</v>
      </c>
      <c r="C144" s="73" t="s">
        <v>495</v>
      </c>
      <c r="D144" s="73" t="s">
        <v>271</v>
      </c>
      <c r="E144" s="73" t="s">
        <v>31</v>
      </c>
      <c r="F144" s="15" t="s">
        <v>15</v>
      </c>
      <c r="G144" s="15" t="s">
        <v>525</v>
      </c>
      <c r="H144" s="7">
        <v>269900</v>
      </c>
      <c r="I144" s="8">
        <v>0.3</v>
      </c>
      <c r="J144" s="9">
        <f t="shared" si="7"/>
        <v>188930</v>
      </c>
    </row>
    <row r="145" spans="1:10" ht="20.100000000000001" customHeight="1" x14ac:dyDescent="0.25">
      <c r="A145" s="124"/>
      <c r="B145" s="75" t="s">
        <v>489</v>
      </c>
      <c r="C145" s="73" t="s">
        <v>496</v>
      </c>
      <c r="D145" s="73" t="s">
        <v>57</v>
      </c>
      <c r="E145" s="73" t="s">
        <v>31</v>
      </c>
      <c r="F145" s="15" t="s">
        <v>15</v>
      </c>
      <c r="G145" s="15" t="s">
        <v>525</v>
      </c>
      <c r="H145" s="7">
        <v>279900</v>
      </c>
      <c r="I145" s="8">
        <v>0.3</v>
      </c>
      <c r="J145" s="9">
        <f t="shared" si="7"/>
        <v>195930</v>
      </c>
    </row>
    <row r="146" spans="1:10" ht="20.100000000000001" customHeight="1" x14ac:dyDescent="0.25">
      <c r="A146" s="124"/>
      <c r="B146" s="75" t="s">
        <v>1205</v>
      </c>
      <c r="C146" s="73" t="s">
        <v>496</v>
      </c>
      <c r="D146" s="73" t="s">
        <v>57</v>
      </c>
      <c r="E146" s="73" t="s">
        <v>31</v>
      </c>
      <c r="F146" s="15" t="s">
        <v>15</v>
      </c>
      <c r="G146" s="15" t="s">
        <v>525</v>
      </c>
      <c r="H146" s="7">
        <v>289900</v>
      </c>
      <c r="I146" s="8">
        <v>0.3</v>
      </c>
      <c r="J146" s="9">
        <f t="shared" si="7"/>
        <v>202930</v>
      </c>
    </row>
    <row r="147" spans="1:10" ht="20.100000000000001" customHeight="1" x14ac:dyDescent="0.25">
      <c r="A147" s="124"/>
      <c r="B147" s="75" t="s">
        <v>490</v>
      </c>
      <c r="C147" s="73" t="s">
        <v>496</v>
      </c>
      <c r="D147" s="73" t="s">
        <v>56</v>
      </c>
      <c r="E147" s="73" t="s">
        <v>31</v>
      </c>
      <c r="F147" s="15" t="s">
        <v>15</v>
      </c>
      <c r="G147" s="15" t="s">
        <v>525</v>
      </c>
      <c r="H147" s="7">
        <v>329900</v>
      </c>
      <c r="I147" s="8">
        <v>0.3</v>
      </c>
      <c r="J147" s="9">
        <f t="shared" si="7"/>
        <v>230930</v>
      </c>
    </row>
    <row r="148" spans="1:10" ht="20.100000000000001" customHeight="1" x14ac:dyDescent="0.25">
      <c r="A148" s="124"/>
      <c r="B148" s="75" t="s">
        <v>491</v>
      </c>
      <c r="C148" s="73" t="s">
        <v>496</v>
      </c>
      <c r="D148" s="73" t="s">
        <v>56</v>
      </c>
      <c r="E148" s="73" t="s">
        <v>31</v>
      </c>
      <c r="F148" s="15" t="s">
        <v>15</v>
      </c>
      <c r="G148" s="15" t="s">
        <v>525</v>
      </c>
      <c r="H148" s="7">
        <v>339900</v>
      </c>
      <c r="I148" s="8">
        <v>0.3</v>
      </c>
      <c r="J148" s="9">
        <f t="shared" si="7"/>
        <v>237930</v>
      </c>
    </row>
    <row r="149" spans="1:10" ht="20.100000000000001" customHeight="1" x14ac:dyDescent="0.25">
      <c r="A149" s="124"/>
      <c r="B149" s="75" t="s">
        <v>492</v>
      </c>
      <c r="C149" s="73" t="s">
        <v>497</v>
      </c>
      <c r="D149" s="73" t="s">
        <v>57</v>
      </c>
      <c r="E149" s="73" t="s">
        <v>31</v>
      </c>
      <c r="F149" s="15" t="s">
        <v>15</v>
      </c>
      <c r="G149" s="15" t="s">
        <v>526</v>
      </c>
      <c r="H149" s="7">
        <v>319900</v>
      </c>
      <c r="I149" s="8">
        <v>0.3</v>
      </c>
      <c r="J149" s="9">
        <f t="shared" si="7"/>
        <v>223930</v>
      </c>
    </row>
    <row r="150" spans="1:10" ht="20.100000000000001" customHeight="1" x14ac:dyDescent="0.25">
      <c r="A150" s="124"/>
      <c r="B150" s="75" t="s">
        <v>494</v>
      </c>
      <c r="C150" s="73" t="s">
        <v>497</v>
      </c>
      <c r="D150" s="73" t="s">
        <v>57</v>
      </c>
      <c r="E150" s="73" t="s">
        <v>31</v>
      </c>
      <c r="F150" s="15" t="s">
        <v>15</v>
      </c>
      <c r="G150" s="15" t="s">
        <v>526</v>
      </c>
      <c r="H150" s="7">
        <v>329900</v>
      </c>
      <c r="I150" s="8">
        <v>0.3</v>
      </c>
      <c r="J150" s="9">
        <f t="shared" si="7"/>
        <v>230930</v>
      </c>
    </row>
    <row r="151" spans="1:10" ht="20.100000000000001" customHeight="1" x14ac:dyDescent="0.25">
      <c r="A151" s="124"/>
      <c r="B151" s="75" t="s">
        <v>493</v>
      </c>
      <c r="C151" s="73" t="s">
        <v>499</v>
      </c>
      <c r="D151" s="73" t="s">
        <v>500</v>
      </c>
      <c r="E151" s="73" t="s">
        <v>31</v>
      </c>
      <c r="F151" s="15" t="s">
        <v>15</v>
      </c>
      <c r="G151" s="15" t="s">
        <v>526</v>
      </c>
      <c r="H151" s="7">
        <v>259900</v>
      </c>
      <c r="I151" s="8">
        <v>0.3</v>
      </c>
      <c r="J151" s="9">
        <f>CEILING(H151*0.7,10)</f>
        <v>181930</v>
      </c>
    </row>
    <row r="152" spans="1:10" ht="20.100000000000001" customHeight="1" x14ac:dyDescent="0.25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</row>
    <row r="153" spans="1:10" ht="39.950000000000003" customHeight="1" x14ac:dyDescent="0.25">
      <c r="A153" s="117" t="s">
        <v>1644</v>
      </c>
      <c r="B153" s="118"/>
      <c r="C153" s="118"/>
      <c r="D153" s="118"/>
      <c r="E153" s="118"/>
      <c r="F153" s="118"/>
      <c r="G153" s="118"/>
      <c r="H153" s="118"/>
      <c r="I153" s="118"/>
      <c r="J153" s="118"/>
    </row>
    <row r="154" spans="1:10" ht="30" customHeight="1" x14ac:dyDescent="0.25">
      <c r="A154" s="73"/>
      <c r="B154" s="39" t="s">
        <v>2</v>
      </c>
      <c r="C154" s="4" t="s">
        <v>48</v>
      </c>
      <c r="D154" s="4" t="s">
        <v>49</v>
      </c>
      <c r="E154" s="39" t="s">
        <v>9</v>
      </c>
      <c r="F154" s="39" t="s">
        <v>10</v>
      </c>
      <c r="G154" s="4" t="s">
        <v>11</v>
      </c>
      <c r="H154" s="4" t="s">
        <v>17</v>
      </c>
      <c r="I154" s="4" t="s">
        <v>12</v>
      </c>
      <c r="J154" s="4" t="s">
        <v>18</v>
      </c>
    </row>
    <row r="155" spans="1:10" ht="20.100000000000001" customHeight="1" x14ac:dyDescent="0.25">
      <c r="A155" s="124"/>
      <c r="B155" s="75" t="s">
        <v>501</v>
      </c>
      <c r="C155" s="73" t="s">
        <v>51</v>
      </c>
      <c r="D155" s="73" t="s">
        <v>55</v>
      </c>
      <c r="E155" s="73" t="s">
        <v>31</v>
      </c>
      <c r="F155" s="73" t="s">
        <v>13</v>
      </c>
      <c r="G155" s="15" t="s">
        <v>527</v>
      </c>
      <c r="H155" s="7">
        <v>27900</v>
      </c>
      <c r="I155" s="8">
        <v>0.3</v>
      </c>
      <c r="J155" s="9">
        <f>CEILING(H155*0.7,10)</f>
        <v>19530</v>
      </c>
    </row>
    <row r="156" spans="1:10" ht="20.100000000000001" customHeight="1" x14ac:dyDescent="0.25">
      <c r="A156" s="124"/>
      <c r="B156" s="75" t="s">
        <v>502</v>
      </c>
      <c r="C156" s="73" t="s">
        <v>241</v>
      </c>
      <c r="D156" s="73" t="s">
        <v>55</v>
      </c>
      <c r="E156" s="73" t="s">
        <v>31</v>
      </c>
      <c r="F156" s="73" t="s">
        <v>13</v>
      </c>
      <c r="G156" s="15" t="s">
        <v>527</v>
      </c>
      <c r="H156" s="7">
        <v>28900</v>
      </c>
      <c r="I156" s="8">
        <v>0.3</v>
      </c>
      <c r="J156" s="9">
        <f t="shared" ref="J156:J169" si="8">CEILING(H156*0.7,10)</f>
        <v>20230</v>
      </c>
    </row>
    <row r="157" spans="1:10" ht="20.100000000000001" customHeight="1" x14ac:dyDescent="0.25">
      <c r="A157" s="124"/>
      <c r="B157" s="75" t="s">
        <v>503</v>
      </c>
      <c r="C157" s="73" t="s">
        <v>233</v>
      </c>
      <c r="D157" s="73" t="s">
        <v>55</v>
      </c>
      <c r="E157" s="73" t="s">
        <v>31</v>
      </c>
      <c r="F157" s="73" t="s">
        <v>13</v>
      </c>
      <c r="G157" s="15" t="s">
        <v>527</v>
      </c>
      <c r="H157" s="7">
        <v>29900</v>
      </c>
      <c r="I157" s="8">
        <v>0.3</v>
      </c>
      <c r="J157" s="9">
        <f t="shared" si="8"/>
        <v>20930</v>
      </c>
    </row>
    <row r="158" spans="1:10" ht="20.100000000000001" customHeight="1" x14ac:dyDescent="0.25">
      <c r="A158" s="124"/>
      <c r="B158" s="75" t="s">
        <v>504</v>
      </c>
      <c r="C158" s="73" t="s">
        <v>517</v>
      </c>
      <c r="D158" s="73" t="s">
        <v>55</v>
      </c>
      <c r="E158" s="73" t="s">
        <v>31</v>
      </c>
      <c r="F158" s="73" t="s">
        <v>13</v>
      </c>
      <c r="G158" s="15" t="s">
        <v>527</v>
      </c>
      <c r="H158" s="7">
        <v>30900</v>
      </c>
      <c r="I158" s="8">
        <v>0.3</v>
      </c>
      <c r="J158" s="9">
        <f t="shared" si="8"/>
        <v>21630</v>
      </c>
    </row>
    <row r="159" spans="1:10" ht="20.100000000000001" customHeight="1" x14ac:dyDescent="0.25">
      <c r="A159" s="124"/>
      <c r="B159" s="75" t="s">
        <v>505</v>
      </c>
      <c r="C159" s="73" t="s">
        <v>234</v>
      </c>
      <c r="D159" s="73" t="s">
        <v>55</v>
      </c>
      <c r="E159" s="73" t="s">
        <v>31</v>
      </c>
      <c r="F159" s="73" t="s">
        <v>13</v>
      </c>
      <c r="G159" s="15" t="s">
        <v>527</v>
      </c>
      <c r="H159" s="7">
        <v>32900</v>
      </c>
      <c r="I159" s="8">
        <v>0.3</v>
      </c>
      <c r="J159" s="9">
        <f t="shared" si="8"/>
        <v>23030</v>
      </c>
    </row>
    <row r="160" spans="1:10" ht="20.100000000000001" customHeight="1" x14ac:dyDescent="0.25">
      <c r="A160" s="124"/>
      <c r="B160" s="75" t="s">
        <v>506</v>
      </c>
      <c r="C160" s="73" t="s">
        <v>234</v>
      </c>
      <c r="D160" s="73" t="s">
        <v>56</v>
      </c>
      <c r="E160" s="73" t="s">
        <v>31</v>
      </c>
      <c r="F160" s="73" t="s">
        <v>13</v>
      </c>
      <c r="G160" s="15" t="s">
        <v>528</v>
      </c>
      <c r="H160" s="7">
        <v>26900</v>
      </c>
      <c r="I160" s="8">
        <v>0.3</v>
      </c>
      <c r="J160" s="9">
        <f t="shared" si="8"/>
        <v>18830</v>
      </c>
    </row>
    <row r="161" spans="1:12" ht="20.100000000000001" customHeight="1" x14ac:dyDescent="0.25">
      <c r="A161" s="124"/>
      <c r="B161" s="75" t="s">
        <v>507</v>
      </c>
      <c r="C161" s="73" t="s">
        <v>63</v>
      </c>
      <c r="D161" s="73" t="s">
        <v>56</v>
      </c>
      <c r="E161" s="73" t="s">
        <v>31</v>
      </c>
      <c r="F161" s="73" t="s">
        <v>13</v>
      </c>
      <c r="G161" s="15" t="s">
        <v>528</v>
      </c>
      <c r="H161" s="7">
        <v>27900</v>
      </c>
      <c r="I161" s="8">
        <v>0.3</v>
      </c>
      <c r="J161" s="9">
        <f t="shared" si="8"/>
        <v>19530</v>
      </c>
    </row>
    <row r="162" spans="1:12" ht="20.100000000000001" customHeight="1" x14ac:dyDescent="0.25">
      <c r="A162" s="124"/>
      <c r="B162" s="75" t="s">
        <v>508</v>
      </c>
      <c r="C162" s="73" t="s">
        <v>182</v>
      </c>
      <c r="D162" s="73" t="s">
        <v>56</v>
      </c>
      <c r="E162" s="73" t="s">
        <v>31</v>
      </c>
      <c r="F162" s="73" t="s">
        <v>13</v>
      </c>
      <c r="G162" s="15" t="s">
        <v>528</v>
      </c>
      <c r="H162" s="7">
        <v>29900</v>
      </c>
      <c r="I162" s="8">
        <v>0.3</v>
      </c>
      <c r="J162" s="9">
        <f t="shared" si="8"/>
        <v>20930</v>
      </c>
    </row>
    <row r="163" spans="1:12" ht="20.100000000000001" customHeight="1" x14ac:dyDescent="0.25">
      <c r="A163" s="124"/>
      <c r="B163" s="75" t="s">
        <v>509</v>
      </c>
      <c r="C163" s="73" t="s">
        <v>235</v>
      </c>
      <c r="D163" s="73" t="s">
        <v>56</v>
      </c>
      <c r="E163" s="73" t="s">
        <v>31</v>
      </c>
      <c r="F163" s="73" t="s">
        <v>13</v>
      </c>
      <c r="G163" s="15" t="s">
        <v>528</v>
      </c>
      <c r="H163" s="7">
        <v>30900</v>
      </c>
      <c r="I163" s="8">
        <v>0.3</v>
      </c>
      <c r="J163" s="9">
        <f t="shared" si="8"/>
        <v>21630</v>
      </c>
    </row>
    <row r="164" spans="1:12" ht="20.100000000000001" customHeight="1" x14ac:dyDescent="0.25">
      <c r="A164" s="124"/>
      <c r="B164" s="75" t="s">
        <v>510</v>
      </c>
      <c r="C164" s="73" t="s">
        <v>518</v>
      </c>
      <c r="D164" s="73" t="s">
        <v>56</v>
      </c>
      <c r="E164" s="73" t="s">
        <v>31</v>
      </c>
      <c r="F164" s="73" t="s">
        <v>13</v>
      </c>
      <c r="G164" s="15" t="s">
        <v>528</v>
      </c>
      <c r="H164" s="7">
        <v>31900</v>
      </c>
      <c r="I164" s="8">
        <v>0.3</v>
      </c>
      <c r="J164" s="9">
        <f t="shared" si="8"/>
        <v>22330</v>
      </c>
    </row>
    <row r="165" spans="1:12" ht="20.100000000000001" customHeight="1" x14ac:dyDescent="0.25">
      <c r="A165" s="124"/>
      <c r="B165" s="75" t="s">
        <v>511</v>
      </c>
      <c r="C165" s="73" t="s">
        <v>183</v>
      </c>
      <c r="D165" s="73" t="s">
        <v>56</v>
      </c>
      <c r="E165" s="73" t="s">
        <v>31</v>
      </c>
      <c r="F165" s="73" t="s">
        <v>13</v>
      </c>
      <c r="G165" s="15" t="s">
        <v>528</v>
      </c>
      <c r="H165" s="7">
        <v>34900</v>
      </c>
      <c r="I165" s="8">
        <v>0.3</v>
      </c>
      <c r="J165" s="9">
        <f t="shared" si="8"/>
        <v>24430</v>
      </c>
    </row>
    <row r="166" spans="1:12" ht="20.100000000000001" customHeight="1" x14ac:dyDescent="0.25">
      <c r="A166" s="124"/>
      <c r="B166" s="75" t="s">
        <v>512</v>
      </c>
      <c r="C166" s="73" t="s">
        <v>183</v>
      </c>
      <c r="D166" s="73" t="s">
        <v>57</v>
      </c>
      <c r="E166" s="73" t="s">
        <v>31</v>
      </c>
      <c r="F166" s="73" t="s">
        <v>13</v>
      </c>
      <c r="G166" s="15" t="s">
        <v>528</v>
      </c>
      <c r="H166" s="7">
        <v>25900</v>
      </c>
      <c r="I166" s="8">
        <v>0.3</v>
      </c>
      <c r="J166" s="9">
        <f t="shared" si="8"/>
        <v>18130</v>
      </c>
    </row>
    <row r="167" spans="1:12" ht="20.100000000000001" customHeight="1" x14ac:dyDescent="0.25">
      <c r="A167" s="124"/>
      <c r="B167" s="75" t="s">
        <v>513</v>
      </c>
      <c r="C167" s="73" t="s">
        <v>109</v>
      </c>
      <c r="D167" s="73" t="s">
        <v>57</v>
      </c>
      <c r="E167" s="73" t="s">
        <v>31</v>
      </c>
      <c r="F167" s="73" t="s">
        <v>13</v>
      </c>
      <c r="G167" s="15" t="s">
        <v>528</v>
      </c>
      <c r="H167" s="7">
        <v>31900</v>
      </c>
      <c r="I167" s="8">
        <v>0.3</v>
      </c>
      <c r="J167" s="9">
        <f t="shared" si="8"/>
        <v>22330</v>
      </c>
    </row>
    <row r="168" spans="1:12" ht="20.100000000000001" customHeight="1" x14ac:dyDescent="0.25">
      <c r="A168" s="124"/>
      <c r="B168" s="14" t="s">
        <v>514</v>
      </c>
      <c r="C168" s="73" t="s">
        <v>519</v>
      </c>
      <c r="D168" s="73" t="s">
        <v>522</v>
      </c>
      <c r="E168" s="73" t="s">
        <v>273</v>
      </c>
      <c r="F168" s="73" t="s">
        <v>13</v>
      </c>
      <c r="G168" s="15" t="s">
        <v>527</v>
      </c>
      <c r="H168" s="7">
        <v>25000</v>
      </c>
      <c r="I168" s="8">
        <v>0.3</v>
      </c>
      <c r="J168" s="9">
        <f t="shared" si="8"/>
        <v>17500</v>
      </c>
      <c r="L168" s="94"/>
    </row>
    <row r="169" spans="1:12" ht="20.100000000000001" customHeight="1" x14ac:dyDescent="0.25">
      <c r="A169" s="124"/>
      <c r="B169" s="14" t="s">
        <v>515</v>
      </c>
      <c r="C169" s="73" t="s">
        <v>520</v>
      </c>
      <c r="D169" s="73" t="s">
        <v>523</v>
      </c>
      <c r="E169" s="73" t="s">
        <v>273</v>
      </c>
      <c r="F169" s="73" t="s">
        <v>13</v>
      </c>
      <c r="G169" s="15" t="s">
        <v>528</v>
      </c>
      <c r="H169" s="7">
        <v>25000</v>
      </c>
      <c r="I169" s="8">
        <v>0.3</v>
      </c>
      <c r="J169" s="9">
        <f t="shared" si="8"/>
        <v>17500</v>
      </c>
      <c r="L169" s="94"/>
    </row>
    <row r="170" spans="1:12" ht="20.100000000000001" customHeight="1" x14ac:dyDescent="0.25">
      <c r="A170" s="124"/>
      <c r="B170" s="14" t="s">
        <v>516</v>
      </c>
      <c r="C170" s="73" t="s">
        <v>521</v>
      </c>
      <c r="D170" s="73" t="s">
        <v>524</v>
      </c>
      <c r="E170" s="73" t="s">
        <v>273</v>
      </c>
      <c r="F170" s="73" t="s">
        <v>13</v>
      </c>
      <c r="G170" s="15" t="s">
        <v>528</v>
      </c>
      <c r="H170" s="7">
        <v>25000</v>
      </c>
      <c r="I170" s="8">
        <v>0.3</v>
      </c>
      <c r="J170" s="9">
        <f>CEILING(H170*0.7,10)</f>
        <v>17500</v>
      </c>
      <c r="L170" s="94"/>
    </row>
    <row r="171" spans="1:12" ht="20.100000000000001" customHeight="1" x14ac:dyDescent="0.25">
      <c r="A171" s="131"/>
      <c r="B171" s="131"/>
      <c r="C171" s="131"/>
      <c r="D171" s="131"/>
      <c r="E171" s="131"/>
      <c r="F171" s="131"/>
      <c r="G171" s="131"/>
      <c r="H171" s="131"/>
      <c r="I171" s="131"/>
      <c r="J171" s="131"/>
    </row>
    <row r="172" spans="1:12" ht="39.950000000000003" customHeight="1" x14ac:dyDescent="0.25">
      <c r="A172" s="117" t="s">
        <v>1474</v>
      </c>
      <c r="B172" s="118"/>
      <c r="C172" s="118"/>
      <c r="D172" s="118"/>
      <c r="E172" s="118"/>
      <c r="F172" s="118"/>
      <c r="G172" s="118"/>
      <c r="H172" s="118"/>
      <c r="I172" s="118"/>
      <c r="J172" s="118"/>
    </row>
    <row r="173" spans="1:12" ht="30" customHeight="1" x14ac:dyDescent="0.25">
      <c r="A173" s="73"/>
      <c r="B173" s="39" t="s">
        <v>2</v>
      </c>
      <c r="C173" s="4" t="s">
        <v>48</v>
      </c>
      <c r="D173" s="4" t="s">
        <v>49</v>
      </c>
      <c r="E173" s="39" t="s">
        <v>9</v>
      </c>
      <c r="F173" s="39" t="s">
        <v>10</v>
      </c>
      <c r="G173" s="4" t="s">
        <v>11</v>
      </c>
      <c r="H173" s="4" t="s">
        <v>17</v>
      </c>
      <c r="I173" s="4" t="s">
        <v>12</v>
      </c>
      <c r="J173" s="4" t="s">
        <v>18</v>
      </c>
    </row>
    <row r="174" spans="1:12" ht="20.100000000000001" customHeight="1" x14ac:dyDescent="0.25">
      <c r="A174" s="124"/>
      <c r="B174" s="75" t="s">
        <v>1082</v>
      </c>
      <c r="C174" s="73" t="s">
        <v>51</v>
      </c>
      <c r="D174" s="73" t="s">
        <v>54</v>
      </c>
      <c r="E174" s="73" t="s">
        <v>1070</v>
      </c>
      <c r="F174" s="73" t="s">
        <v>13</v>
      </c>
      <c r="G174" s="15" t="s">
        <v>527</v>
      </c>
      <c r="H174" s="7">
        <v>29900</v>
      </c>
      <c r="I174" s="8">
        <v>0.2</v>
      </c>
      <c r="J174" s="9">
        <f>CEILING(H174*0.8,10)</f>
        <v>23920</v>
      </c>
    </row>
    <row r="175" spans="1:12" ht="20.100000000000001" customHeight="1" x14ac:dyDescent="0.25">
      <c r="A175" s="124"/>
      <c r="B175" s="75" t="s">
        <v>1083</v>
      </c>
      <c r="C175" s="73" t="s">
        <v>291</v>
      </c>
      <c r="D175" s="73" t="s">
        <v>54</v>
      </c>
      <c r="E175" s="73" t="s">
        <v>1070</v>
      </c>
      <c r="F175" s="73" t="s">
        <v>13</v>
      </c>
      <c r="G175" s="15" t="s">
        <v>527</v>
      </c>
      <c r="H175" s="7">
        <v>31900</v>
      </c>
      <c r="I175" s="8">
        <v>0.2</v>
      </c>
      <c r="J175" s="9">
        <f t="shared" ref="J175:J184" si="9">CEILING(H175*0.8,10)</f>
        <v>25520</v>
      </c>
    </row>
    <row r="176" spans="1:12" ht="20.100000000000001" customHeight="1" x14ac:dyDescent="0.25">
      <c r="A176" s="124"/>
      <c r="B176" s="75" t="s">
        <v>1084</v>
      </c>
      <c r="C176" s="73" t="s">
        <v>51</v>
      </c>
      <c r="D176" s="73" t="s">
        <v>55</v>
      </c>
      <c r="E176" s="73" t="s">
        <v>1070</v>
      </c>
      <c r="F176" s="73" t="s">
        <v>13</v>
      </c>
      <c r="G176" s="15" t="s">
        <v>527</v>
      </c>
      <c r="H176" s="7">
        <v>15900</v>
      </c>
      <c r="I176" s="8">
        <v>0.2</v>
      </c>
      <c r="J176" s="9">
        <f t="shared" si="9"/>
        <v>12720</v>
      </c>
    </row>
    <row r="177" spans="1:10" ht="20.100000000000001" customHeight="1" x14ac:dyDescent="0.25">
      <c r="A177" s="124"/>
      <c r="B177" s="75" t="s">
        <v>1085</v>
      </c>
      <c r="C177" s="73" t="s">
        <v>290</v>
      </c>
      <c r="D177" s="73" t="s">
        <v>55</v>
      </c>
      <c r="E177" s="73" t="s">
        <v>1070</v>
      </c>
      <c r="F177" s="73" t="s">
        <v>13</v>
      </c>
      <c r="G177" s="15" t="s">
        <v>527</v>
      </c>
      <c r="H177" s="7">
        <v>19900</v>
      </c>
      <c r="I177" s="8">
        <v>0.2</v>
      </c>
      <c r="J177" s="9">
        <f t="shared" si="9"/>
        <v>15920</v>
      </c>
    </row>
    <row r="178" spans="1:10" ht="20.100000000000001" customHeight="1" x14ac:dyDescent="0.25">
      <c r="A178" s="124"/>
      <c r="B178" s="75" t="s">
        <v>1086</v>
      </c>
      <c r="C178" s="73" t="s">
        <v>291</v>
      </c>
      <c r="D178" s="73" t="s">
        <v>55</v>
      </c>
      <c r="E178" s="73" t="s">
        <v>1070</v>
      </c>
      <c r="F178" s="73" t="s">
        <v>13</v>
      </c>
      <c r="G178" s="15" t="s">
        <v>527</v>
      </c>
      <c r="H178" s="7">
        <v>21900</v>
      </c>
      <c r="I178" s="8">
        <v>0.2</v>
      </c>
      <c r="J178" s="9">
        <f t="shared" si="9"/>
        <v>17520</v>
      </c>
    </row>
    <row r="179" spans="1:10" ht="20.100000000000001" customHeight="1" x14ac:dyDescent="0.25">
      <c r="A179" s="124"/>
      <c r="B179" s="75" t="s">
        <v>1087</v>
      </c>
      <c r="C179" s="73" t="s">
        <v>466</v>
      </c>
      <c r="D179" s="73" t="s">
        <v>55</v>
      </c>
      <c r="E179" s="73" t="s">
        <v>1070</v>
      </c>
      <c r="F179" s="73" t="s">
        <v>13</v>
      </c>
      <c r="G179" s="15" t="s">
        <v>527</v>
      </c>
      <c r="H179" s="7">
        <v>22900</v>
      </c>
      <c r="I179" s="8">
        <v>0.2</v>
      </c>
      <c r="J179" s="9">
        <f t="shared" si="9"/>
        <v>18320</v>
      </c>
    </row>
    <row r="180" spans="1:10" ht="20.100000000000001" customHeight="1" x14ac:dyDescent="0.25">
      <c r="A180" s="124"/>
      <c r="B180" s="75" t="s">
        <v>1088</v>
      </c>
      <c r="C180" s="73" t="s">
        <v>185</v>
      </c>
      <c r="D180" s="73" t="s">
        <v>55</v>
      </c>
      <c r="E180" s="73" t="s">
        <v>1070</v>
      </c>
      <c r="F180" s="73" t="s">
        <v>13</v>
      </c>
      <c r="G180" s="15" t="s">
        <v>527</v>
      </c>
      <c r="H180" s="7">
        <v>23900</v>
      </c>
      <c r="I180" s="8">
        <v>0.2</v>
      </c>
      <c r="J180" s="9">
        <f t="shared" si="9"/>
        <v>19120</v>
      </c>
    </row>
    <row r="181" spans="1:10" ht="20.100000000000001" customHeight="1" x14ac:dyDescent="0.25">
      <c r="A181" s="124"/>
      <c r="B181" s="75" t="s">
        <v>1089</v>
      </c>
      <c r="C181" s="73" t="s">
        <v>186</v>
      </c>
      <c r="D181" s="73" t="s">
        <v>56</v>
      </c>
      <c r="E181" s="73" t="s">
        <v>1070</v>
      </c>
      <c r="F181" s="73" t="s">
        <v>13</v>
      </c>
      <c r="G181" s="15" t="s">
        <v>1094</v>
      </c>
      <c r="H181" s="7">
        <v>20900</v>
      </c>
      <c r="I181" s="8">
        <v>0.2</v>
      </c>
      <c r="J181" s="9">
        <f t="shared" si="9"/>
        <v>16720</v>
      </c>
    </row>
    <row r="182" spans="1:10" ht="20.100000000000001" customHeight="1" x14ac:dyDescent="0.25">
      <c r="A182" s="124"/>
      <c r="B182" s="75" t="s">
        <v>1090</v>
      </c>
      <c r="C182" s="73" t="s">
        <v>217</v>
      </c>
      <c r="D182" s="73" t="s">
        <v>56</v>
      </c>
      <c r="E182" s="73" t="s">
        <v>1070</v>
      </c>
      <c r="F182" s="73" t="s">
        <v>13</v>
      </c>
      <c r="G182" s="15" t="s">
        <v>1094</v>
      </c>
      <c r="H182" s="7">
        <v>21900</v>
      </c>
      <c r="I182" s="8">
        <v>0.2</v>
      </c>
      <c r="J182" s="9">
        <f t="shared" si="9"/>
        <v>17520</v>
      </c>
    </row>
    <row r="183" spans="1:10" ht="20.100000000000001" customHeight="1" x14ac:dyDescent="0.25">
      <c r="A183" s="124"/>
      <c r="B183" s="75" t="s">
        <v>1091</v>
      </c>
      <c r="C183" s="73" t="s">
        <v>65</v>
      </c>
      <c r="D183" s="73" t="s">
        <v>56</v>
      </c>
      <c r="E183" s="73" t="s">
        <v>1070</v>
      </c>
      <c r="F183" s="73" t="s">
        <v>13</v>
      </c>
      <c r="G183" s="15" t="s">
        <v>1094</v>
      </c>
      <c r="H183" s="7">
        <v>23900</v>
      </c>
      <c r="I183" s="8">
        <v>0.2</v>
      </c>
      <c r="J183" s="9">
        <f t="shared" si="9"/>
        <v>19120</v>
      </c>
    </row>
    <row r="184" spans="1:10" ht="20.100000000000001" customHeight="1" x14ac:dyDescent="0.25">
      <c r="A184" s="124"/>
      <c r="B184" s="75" t="s">
        <v>1092</v>
      </c>
      <c r="C184" s="73" t="s">
        <v>66</v>
      </c>
      <c r="D184" s="73" t="s">
        <v>56</v>
      </c>
      <c r="E184" s="73" t="s">
        <v>1070</v>
      </c>
      <c r="F184" s="73" t="s">
        <v>13</v>
      </c>
      <c r="G184" s="15" t="s">
        <v>1094</v>
      </c>
      <c r="H184" s="7">
        <v>24900</v>
      </c>
      <c r="I184" s="8">
        <v>0.2</v>
      </c>
      <c r="J184" s="9">
        <f t="shared" si="9"/>
        <v>19920</v>
      </c>
    </row>
    <row r="185" spans="1:10" ht="20.100000000000001" customHeight="1" x14ac:dyDescent="0.25">
      <c r="A185" s="124"/>
      <c r="B185" s="75" t="s">
        <v>1093</v>
      </c>
      <c r="C185" s="73" t="s">
        <v>67</v>
      </c>
      <c r="D185" s="73" t="s">
        <v>56</v>
      </c>
      <c r="E185" s="73" t="s">
        <v>1070</v>
      </c>
      <c r="F185" s="73" t="s">
        <v>13</v>
      </c>
      <c r="G185" s="15" t="s">
        <v>1094</v>
      </c>
      <c r="H185" s="7">
        <v>28900</v>
      </c>
      <c r="I185" s="8">
        <v>0.2</v>
      </c>
      <c r="J185" s="9">
        <f>CEILING(H185*0.8,10)</f>
        <v>23120</v>
      </c>
    </row>
    <row r="186" spans="1:10" ht="20.100000000000001" customHeight="1" x14ac:dyDescent="0.25">
      <c r="A186" s="131"/>
      <c r="B186" s="131"/>
      <c r="C186" s="131"/>
      <c r="D186" s="131"/>
      <c r="E186" s="131"/>
      <c r="F186" s="131"/>
      <c r="G186" s="131"/>
      <c r="H186" s="131"/>
      <c r="I186" s="131"/>
      <c r="J186" s="131"/>
    </row>
    <row r="187" spans="1:10" ht="60" customHeight="1" x14ac:dyDescent="0.25">
      <c r="A187" s="117" t="s">
        <v>1645</v>
      </c>
      <c r="B187" s="118"/>
      <c r="C187" s="118"/>
      <c r="D187" s="118"/>
      <c r="E187" s="118"/>
      <c r="F187" s="118"/>
      <c r="G187" s="118"/>
      <c r="H187" s="118"/>
      <c r="I187" s="118"/>
      <c r="J187" s="118"/>
    </row>
    <row r="188" spans="1:10" ht="30" customHeight="1" x14ac:dyDescent="0.25">
      <c r="A188" s="73"/>
      <c r="B188" s="39" t="s">
        <v>2</v>
      </c>
      <c r="C188" s="4" t="s">
        <v>48</v>
      </c>
      <c r="D188" s="4" t="s">
        <v>49</v>
      </c>
      <c r="E188" s="39" t="s">
        <v>9</v>
      </c>
      <c r="F188" s="39" t="s">
        <v>10</v>
      </c>
      <c r="G188" s="4" t="s">
        <v>11</v>
      </c>
      <c r="H188" s="4" t="s">
        <v>17</v>
      </c>
      <c r="I188" s="4" t="s">
        <v>12</v>
      </c>
      <c r="J188" s="4" t="s">
        <v>18</v>
      </c>
    </row>
    <row r="189" spans="1:10" ht="20.100000000000001" customHeight="1" x14ac:dyDescent="0.25">
      <c r="A189" s="124"/>
      <c r="B189" s="75" t="s">
        <v>529</v>
      </c>
      <c r="C189" s="73" t="s">
        <v>536</v>
      </c>
      <c r="D189" s="73" t="s">
        <v>271</v>
      </c>
      <c r="E189" s="73" t="s">
        <v>273</v>
      </c>
      <c r="F189" s="73" t="s">
        <v>13</v>
      </c>
      <c r="G189" s="15" t="s">
        <v>540</v>
      </c>
      <c r="H189" s="7">
        <v>7900</v>
      </c>
      <c r="I189" s="8">
        <v>0.1</v>
      </c>
      <c r="J189" s="9">
        <f t="shared" ref="J189:J195" si="10">CEILING(H189*0.9,10)</f>
        <v>7110</v>
      </c>
    </row>
    <row r="190" spans="1:10" ht="20.100000000000001" customHeight="1" x14ac:dyDescent="0.25">
      <c r="A190" s="124"/>
      <c r="B190" s="75" t="s">
        <v>530</v>
      </c>
      <c r="C190" s="73" t="s">
        <v>537</v>
      </c>
      <c r="D190" s="73" t="s">
        <v>57</v>
      </c>
      <c r="E190" s="73" t="s">
        <v>273</v>
      </c>
      <c r="F190" s="73" t="s">
        <v>13</v>
      </c>
      <c r="G190" s="15" t="s">
        <v>540</v>
      </c>
      <c r="H190" s="7">
        <v>7900</v>
      </c>
      <c r="I190" s="8">
        <v>0.1</v>
      </c>
      <c r="J190" s="9">
        <f t="shared" si="10"/>
        <v>7110</v>
      </c>
    </row>
    <row r="191" spans="1:10" ht="20.100000000000001" customHeight="1" x14ac:dyDescent="0.25">
      <c r="A191" s="124"/>
      <c r="B191" s="75" t="s">
        <v>531</v>
      </c>
      <c r="C191" s="73" t="s">
        <v>269</v>
      </c>
      <c r="D191" s="73" t="s">
        <v>244</v>
      </c>
      <c r="E191" s="73" t="s">
        <v>273</v>
      </c>
      <c r="F191" s="73" t="s">
        <v>13</v>
      </c>
      <c r="G191" s="15" t="s">
        <v>540</v>
      </c>
      <c r="H191" s="7">
        <v>7900</v>
      </c>
      <c r="I191" s="8">
        <v>0.1</v>
      </c>
      <c r="J191" s="9">
        <f t="shared" si="10"/>
        <v>7110</v>
      </c>
    </row>
    <row r="192" spans="1:10" ht="20.100000000000001" customHeight="1" x14ac:dyDescent="0.25">
      <c r="A192" s="124"/>
      <c r="B192" s="75" t="s">
        <v>532</v>
      </c>
      <c r="C192" s="73" t="s">
        <v>269</v>
      </c>
      <c r="D192" s="73" t="s">
        <v>57</v>
      </c>
      <c r="E192" s="73" t="s">
        <v>273</v>
      </c>
      <c r="F192" s="73" t="s">
        <v>13</v>
      </c>
      <c r="G192" s="15" t="s">
        <v>540</v>
      </c>
      <c r="H192" s="7">
        <v>8900</v>
      </c>
      <c r="I192" s="8">
        <v>0.1</v>
      </c>
      <c r="J192" s="9">
        <f t="shared" si="10"/>
        <v>8010</v>
      </c>
    </row>
    <row r="193" spans="1:10" ht="20.100000000000001" customHeight="1" x14ac:dyDescent="0.25">
      <c r="A193" s="124"/>
      <c r="B193" s="75" t="s">
        <v>533</v>
      </c>
      <c r="C193" s="73" t="s">
        <v>109</v>
      </c>
      <c r="D193" s="73" t="s">
        <v>187</v>
      </c>
      <c r="E193" s="73" t="s">
        <v>273</v>
      </c>
      <c r="F193" s="73" t="s">
        <v>13</v>
      </c>
      <c r="G193" s="15" t="s">
        <v>540</v>
      </c>
      <c r="H193" s="7">
        <v>8900</v>
      </c>
      <c r="I193" s="8">
        <v>0.1</v>
      </c>
      <c r="J193" s="9">
        <f t="shared" si="10"/>
        <v>8010</v>
      </c>
    </row>
    <row r="194" spans="1:10" ht="20.100000000000001" customHeight="1" x14ac:dyDescent="0.25">
      <c r="A194" s="124"/>
      <c r="B194" s="75" t="s">
        <v>534</v>
      </c>
      <c r="C194" s="73" t="s">
        <v>69</v>
      </c>
      <c r="D194" s="73" t="s">
        <v>538</v>
      </c>
      <c r="E194" s="73" t="s">
        <v>273</v>
      </c>
      <c r="F194" s="73" t="s">
        <v>13</v>
      </c>
      <c r="G194" s="15" t="s">
        <v>540</v>
      </c>
      <c r="H194" s="7">
        <v>10900</v>
      </c>
      <c r="I194" s="8">
        <v>0.1</v>
      </c>
      <c r="J194" s="9">
        <f t="shared" si="10"/>
        <v>9810</v>
      </c>
    </row>
    <row r="195" spans="1:10" ht="20.100000000000001" customHeight="1" x14ac:dyDescent="0.25">
      <c r="A195" s="124"/>
      <c r="B195" s="75" t="s">
        <v>535</v>
      </c>
      <c r="C195" s="73" t="s">
        <v>184</v>
      </c>
      <c r="D195" s="73" t="s">
        <v>539</v>
      </c>
      <c r="E195" s="73" t="s">
        <v>273</v>
      </c>
      <c r="F195" s="73" t="s">
        <v>13</v>
      </c>
      <c r="G195" s="15" t="s">
        <v>540</v>
      </c>
      <c r="H195" s="7">
        <v>10900</v>
      </c>
      <c r="I195" s="8">
        <v>0.1</v>
      </c>
      <c r="J195" s="9">
        <f t="shared" si="10"/>
        <v>9810</v>
      </c>
    </row>
    <row r="196" spans="1:10" ht="20.100000000000001" customHeight="1" x14ac:dyDescent="0.25">
      <c r="A196" s="131"/>
      <c r="B196" s="131"/>
      <c r="C196" s="131"/>
      <c r="D196" s="131"/>
      <c r="E196" s="131"/>
      <c r="F196" s="131"/>
      <c r="G196" s="131"/>
      <c r="H196" s="131"/>
      <c r="I196" s="131"/>
      <c r="J196" s="131"/>
    </row>
    <row r="197" spans="1:10" ht="60" customHeight="1" x14ac:dyDescent="0.25">
      <c r="A197" s="117" t="s">
        <v>1650</v>
      </c>
      <c r="B197" s="118"/>
      <c r="C197" s="118"/>
      <c r="D197" s="118"/>
      <c r="E197" s="118"/>
      <c r="F197" s="118"/>
      <c r="G197" s="118"/>
      <c r="H197" s="118"/>
      <c r="I197" s="118"/>
      <c r="J197" s="118"/>
    </row>
    <row r="198" spans="1:10" ht="30" customHeight="1" x14ac:dyDescent="0.25">
      <c r="A198" s="73"/>
      <c r="B198" s="39" t="s">
        <v>2</v>
      </c>
      <c r="C198" s="4" t="s">
        <v>48</v>
      </c>
      <c r="D198" s="4" t="s">
        <v>49</v>
      </c>
      <c r="E198" s="39" t="s">
        <v>9</v>
      </c>
      <c r="F198" s="39" t="s">
        <v>10</v>
      </c>
      <c r="G198" s="4" t="s">
        <v>11</v>
      </c>
      <c r="H198" s="4" t="s">
        <v>17</v>
      </c>
      <c r="I198" s="4" t="s">
        <v>12</v>
      </c>
      <c r="J198" s="4" t="s">
        <v>18</v>
      </c>
    </row>
    <row r="199" spans="1:10" ht="20.100000000000001" customHeight="1" x14ac:dyDescent="0.25">
      <c r="A199" s="124"/>
      <c r="B199" s="75" t="s">
        <v>541</v>
      </c>
      <c r="C199" s="73" t="s">
        <v>536</v>
      </c>
      <c r="D199" s="73" t="s">
        <v>271</v>
      </c>
      <c r="E199" s="73" t="s">
        <v>273</v>
      </c>
      <c r="F199" s="73" t="s">
        <v>13</v>
      </c>
      <c r="G199" s="15" t="s">
        <v>540</v>
      </c>
      <c r="H199" s="7">
        <v>20900</v>
      </c>
      <c r="I199" s="8">
        <v>0.2</v>
      </c>
      <c r="J199" s="9">
        <f t="shared" ref="J199:J204" si="11">CEILING(H199*0.8,10)</f>
        <v>16720</v>
      </c>
    </row>
    <row r="200" spans="1:10" ht="20.100000000000001" customHeight="1" x14ac:dyDescent="0.25">
      <c r="A200" s="124"/>
      <c r="B200" s="75" t="s">
        <v>542</v>
      </c>
      <c r="C200" s="73" t="s">
        <v>537</v>
      </c>
      <c r="D200" s="73" t="s">
        <v>57</v>
      </c>
      <c r="E200" s="73" t="s">
        <v>273</v>
      </c>
      <c r="F200" s="73" t="s">
        <v>13</v>
      </c>
      <c r="G200" s="15" t="s">
        <v>540</v>
      </c>
      <c r="H200" s="7">
        <v>20900</v>
      </c>
      <c r="I200" s="8">
        <v>0.2</v>
      </c>
      <c r="J200" s="9">
        <f t="shared" si="11"/>
        <v>16720</v>
      </c>
    </row>
    <row r="201" spans="1:10" ht="20.100000000000001" customHeight="1" x14ac:dyDescent="0.25">
      <c r="A201" s="124"/>
      <c r="B201" s="75" t="s">
        <v>543</v>
      </c>
      <c r="C201" s="73" t="s">
        <v>269</v>
      </c>
      <c r="D201" s="73" t="s">
        <v>244</v>
      </c>
      <c r="E201" s="73" t="s">
        <v>273</v>
      </c>
      <c r="F201" s="73" t="s">
        <v>13</v>
      </c>
      <c r="G201" s="15" t="s">
        <v>540</v>
      </c>
      <c r="H201" s="7">
        <v>20900</v>
      </c>
      <c r="I201" s="8">
        <v>0.2</v>
      </c>
      <c r="J201" s="9">
        <f t="shared" si="11"/>
        <v>16720</v>
      </c>
    </row>
    <row r="202" spans="1:10" ht="20.100000000000001" customHeight="1" x14ac:dyDescent="0.25">
      <c r="A202" s="124"/>
      <c r="B202" s="75" t="s">
        <v>544</v>
      </c>
      <c r="C202" s="73" t="s">
        <v>269</v>
      </c>
      <c r="D202" s="73" t="s">
        <v>57</v>
      </c>
      <c r="E202" s="73" t="s">
        <v>273</v>
      </c>
      <c r="F202" s="73" t="s">
        <v>13</v>
      </c>
      <c r="G202" s="15" t="s">
        <v>540</v>
      </c>
      <c r="H202" s="7">
        <v>20900</v>
      </c>
      <c r="I202" s="8">
        <v>0.2</v>
      </c>
      <c r="J202" s="9">
        <f t="shared" si="11"/>
        <v>16720</v>
      </c>
    </row>
    <row r="203" spans="1:10" ht="20.100000000000001" customHeight="1" x14ac:dyDescent="0.25">
      <c r="A203" s="124"/>
      <c r="B203" s="75" t="s">
        <v>545</v>
      </c>
      <c r="C203" s="73" t="s">
        <v>270</v>
      </c>
      <c r="D203" s="73" t="s">
        <v>187</v>
      </c>
      <c r="E203" s="73" t="s">
        <v>273</v>
      </c>
      <c r="F203" s="73" t="s">
        <v>13</v>
      </c>
      <c r="G203" s="15" t="s">
        <v>540</v>
      </c>
      <c r="H203" s="7">
        <v>20900</v>
      </c>
      <c r="I203" s="8">
        <v>0.2</v>
      </c>
      <c r="J203" s="9">
        <f t="shared" si="11"/>
        <v>16720</v>
      </c>
    </row>
    <row r="204" spans="1:10" ht="20.100000000000001" customHeight="1" x14ac:dyDescent="0.25">
      <c r="A204" s="124"/>
      <c r="B204" s="75" t="s">
        <v>546</v>
      </c>
      <c r="C204" s="73" t="s">
        <v>69</v>
      </c>
      <c r="D204" s="73" t="s">
        <v>538</v>
      </c>
      <c r="E204" s="73" t="s">
        <v>273</v>
      </c>
      <c r="F204" s="73" t="s">
        <v>13</v>
      </c>
      <c r="G204" s="15" t="s">
        <v>540</v>
      </c>
      <c r="H204" s="7">
        <v>20900</v>
      </c>
      <c r="I204" s="8">
        <v>0.2</v>
      </c>
      <c r="J204" s="9">
        <f t="shared" si="11"/>
        <v>16720</v>
      </c>
    </row>
    <row r="205" spans="1:10" ht="20.100000000000001" customHeight="1" x14ac:dyDescent="0.25">
      <c r="A205" s="131"/>
      <c r="B205" s="131"/>
      <c r="C205" s="131"/>
      <c r="D205" s="131"/>
      <c r="E205" s="131"/>
      <c r="F205" s="131"/>
      <c r="G205" s="131"/>
      <c r="H205" s="131"/>
      <c r="I205" s="131"/>
      <c r="J205" s="131"/>
    </row>
    <row r="206" spans="1:10" ht="60" customHeight="1" x14ac:dyDescent="0.25">
      <c r="A206" s="117" t="s">
        <v>1646</v>
      </c>
      <c r="B206" s="118"/>
      <c r="C206" s="118"/>
      <c r="D206" s="118"/>
      <c r="E206" s="118"/>
      <c r="F206" s="118"/>
      <c r="G206" s="118"/>
      <c r="H206" s="118"/>
      <c r="I206" s="118"/>
      <c r="J206" s="118"/>
    </row>
    <row r="207" spans="1:10" ht="30" customHeight="1" x14ac:dyDescent="0.25">
      <c r="A207" s="73"/>
      <c r="B207" s="39" t="s">
        <v>2</v>
      </c>
      <c r="C207" s="4" t="s">
        <v>48</v>
      </c>
      <c r="D207" s="4" t="s">
        <v>49</v>
      </c>
      <c r="E207" s="39" t="s">
        <v>9</v>
      </c>
      <c r="F207" s="39" t="s">
        <v>10</v>
      </c>
      <c r="G207" s="4" t="s">
        <v>11</v>
      </c>
      <c r="H207" s="4" t="s">
        <v>17</v>
      </c>
      <c r="I207" s="4" t="s">
        <v>12</v>
      </c>
      <c r="J207" s="4" t="s">
        <v>18</v>
      </c>
    </row>
    <row r="208" spans="1:10" ht="60" customHeight="1" x14ac:dyDescent="0.25">
      <c r="A208" s="124"/>
      <c r="B208" s="75" t="s">
        <v>547</v>
      </c>
      <c r="C208" s="73" t="s">
        <v>241</v>
      </c>
      <c r="D208" s="73" t="s">
        <v>56</v>
      </c>
      <c r="E208" s="73" t="s">
        <v>1070</v>
      </c>
      <c r="F208" s="73" t="s">
        <v>13</v>
      </c>
      <c r="G208" s="15" t="s">
        <v>433</v>
      </c>
      <c r="H208" s="7">
        <v>4900</v>
      </c>
      <c r="I208" s="8">
        <v>0.15</v>
      </c>
      <c r="J208" s="9">
        <f>CEILING(H208*0.85,10)</f>
        <v>4170</v>
      </c>
    </row>
    <row r="209" spans="1:10" ht="60" customHeight="1" x14ac:dyDescent="0.25">
      <c r="A209" s="124"/>
      <c r="B209" s="75" t="s">
        <v>548</v>
      </c>
      <c r="C209" s="73" t="s">
        <v>182</v>
      </c>
      <c r="D209" s="73" t="s">
        <v>57</v>
      </c>
      <c r="E209" s="73" t="s">
        <v>1070</v>
      </c>
      <c r="F209" s="73" t="s">
        <v>13</v>
      </c>
      <c r="G209" s="15" t="s">
        <v>433</v>
      </c>
      <c r="H209" s="7">
        <v>4900</v>
      </c>
      <c r="I209" s="8">
        <v>0.15</v>
      </c>
      <c r="J209" s="9">
        <f>CEILING(H209*0.85,10)</f>
        <v>4170</v>
      </c>
    </row>
    <row r="210" spans="1:10" ht="20.100000000000001" customHeight="1" x14ac:dyDescent="0.25">
      <c r="A210" s="131"/>
      <c r="B210" s="131"/>
      <c r="C210" s="131"/>
      <c r="D210" s="131"/>
      <c r="E210" s="131"/>
      <c r="F210" s="131"/>
      <c r="G210" s="131"/>
      <c r="H210" s="131"/>
      <c r="I210" s="131"/>
      <c r="J210" s="131"/>
    </row>
    <row r="211" spans="1:10" ht="39.950000000000003" customHeight="1" x14ac:dyDescent="0.25">
      <c r="A211" s="117" t="s">
        <v>1647</v>
      </c>
      <c r="B211" s="118"/>
      <c r="C211" s="118"/>
      <c r="D211" s="118"/>
      <c r="E211" s="118"/>
      <c r="F211" s="118"/>
      <c r="G211" s="118"/>
      <c r="H211" s="118"/>
      <c r="I211" s="118"/>
      <c r="J211" s="118"/>
    </row>
    <row r="212" spans="1:10" ht="30" customHeight="1" x14ac:dyDescent="0.25">
      <c r="A212" s="73"/>
      <c r="B212" s="39" t="s">
        <v>2</v>
      </c>
      <c r="C212" s="4" t="s">
        <v>48</v>
      </c>
      <c r="D212" s="4" t="s">
        <v>49</v>
      </c>
      <c r="E212" s="39" t="s">
        <v>9</v>
      </c>
      <c r="F212" s="39" t="s">
        <v>10</v>
      </c>
      <c r="G212" s="4" t="s">
        <v>11</v>
      </c>
      <c r="H212" s="4" t="s">
        <v>17</v>
      </c>
      <c r="I212" s="4" t="s">
        <v>12</v>
      </c>
      <c r="J212" s="4" t="s">
        <v>18</v>
      </c>
    </row>
    <row r="213" spans="1:10" ht="120" customHeight="1" x14ac:dyDescent="0.25">
      <c r="A213" s="73"/>
      <c r="B213" s="75" t="s">
        <v>549</v>
      </c>
      <c r="C213" s="73" t="s">
        <v>232</v>
      </c>
      <c r="D213" s="73" t="s">
        <v>56</v>
      </c>
      <c r="E213" s="73" t="s">
        <v>222</v>
      </c>
      <c r="F213" s="73" t="s">
        <v>13</v>
      </c>
      <c r="G213" s="15" t="s">
        <v>550</v>
      </c>
      <c r="H213" s="7">
        <v>3900</v>
      </c>
      <c r="I213" s="8">
        <v>0.2</v>
      </c>
      <c r="J213" s="9">
        <f>CEILING(H213*0.8,10)</f>
        <v>3120</v>
      </c>
    </row>
    <row r="214" spans="1:10" ht="20.100000000000001" customHeight="1" x14ac:dyDescent="0.25">
      <c r="A214" s="131"/>
      <c r="B214" s="131"/>
      <c r="C214" s="131"/>
      <c r="D214" s="131"/>
      <c r="E214" s="131"/>
      <c r="F214" s="131"/>
      <c r="G214" s="131"/>
      <c r="H214" s="131"/>
      <c r="I214" s="131"/>
      <c r="J214" s="131"/>
    </row>
    <row r="215" spans="1:10" ht="60" customHeight="1" x14ac:dyDescent="0.25">
      <c r="A215" s="117" t="s">
        <v>1649</v>
      </c>
      <c r="B215" s="118"/>
      <c r="C215" s="118"/>
      <c r="D215" s="118"/>
      <c r="E215" s="118"/>
      <c r="F215" s="118"/>
      <c r="G215" s="118"/>
      <c r="H215" s="118"/>
      <c r="I215" s="118"/>
      <c r="J215" s="118"/>
    </row>
    <row r="216" spans="1:10" ht="30" customHeight="1" x14ac:dyDescent="0.25">
      <c r="A216" s="73"/>
      <c r="B216" s="39" t="s">
        <v>2</v>
      </c>
      <c r="C216" s="4" t="s">
        <v>48</v>
      </c>
      <c r="D216" s="4" t="s">
        <v>49</v>
      </c>
      <c r="E216" s="39" t="s">
        <v>9</v>
      </c>
      <c r="F216" s="39" t="s">
        <v>10</v>
      </c>
      <c r="G216" s="4" t="s">
        <v>11</v>
      </c>
      <c r="H216" s="4" t="s">
        <v>17</v>
      </c>
      <c r="I216" s="4" t="s">
        <v>12</v>
      </c>
      <c r="J216" s="4" t="s">
        <v>18</v>
      </c>
    </row>
    <row r="217" spans="1:10" ht="30" customHeight="1" x14ac:dyDescent="0.25">
      <c r="A217" s="124"/>
      <c r="B217" s="75" t="s">
        <v>551</v>
      </c>
      <c r="C217" s="73" t="s">
        <v>233</v>
      </c>
      <c r="D217" s="73" t="s">
        <v>56</v>
      </c>
      <c r="E217" s="73" t="s">
        <v>1070</v>
      </c>
      <c r="F217" s="73" t="s">
        <v>13</v>
      </c>
      <c r="G217" s="15" t="s">
        <v>556</v>
      </c>
      <c r="H217" s="7">
        <v>16900</v>
      </c>
      <c r="I217" s="8">
        <v>0.25</v>
      </c>
      <c r="J217" s="9">
        <f>CEILING(H217*0.75,10)</f>
        <v>12680</v>
      </c>
    </row>
    <row r="218" spans="1:10" ht="30" customHeight="1" x14ac:dyDescent="0.25">
      <c r="A218" s="124"/>
      <c r="B218" s="75" t="s">
        <v>552</v>
      </c>
      <c r="C218" s="73" t="s">
        <v>536</v>
      </c>
      <c r="D218" s="73" t="s">
        <v>271</v>
      </c>
      <c r="E218" s="73" t="s">
        <v>1070</v>
      </c>
      <c r="F218" s="73" t="s">
        <v>13</v>
      </c>
      <c r="G218" s="15" t="s">
        <v>556</v>
      </c>
      <c r="H218" s="7">
        <v>15900</v>
      </c>
      <c r="I218" s="8">
        <v>0.25</v>
      </c>
      <c r="J218" s="9">
        <f>CEILING(H218*0.75,10)</f>
        <v>11930</v>
      </c>
    </row>
    <row r="219" spans="1:10" ht="30" customHeight="1" x14ac:dyDescent="0.25">
      <c r="A219" s="124"/>
      <c r="B219" s="75" t="s">
        <v>553</v>
      </c>
      <c r="C219" s="73" t="s">
        <v>555</v>
      </c>
      <c r="D219" s="73" t="s">
        <v>57</v>
      </c>
      <c r="E219" s="73" t="s">
        <v>1070</v>
      </c>
      <c r="F219" s="73" t="s">
        <v>13</v>
      </c>
      <c r="G219" s="15" t="s">
        <v>556</v>
      </c>
      <c r="H219" s="7">
        <v>16900</v>
      </c>
      <c r="I219" s="8">
        <v>0.25</v>
      </c>
      <c r="J219" s="9">
        <f>CEILING(H219*0.75,10)</f>
        <v>12680</v>
      </c>
    </row>
    <row r="220" spans="1:10" ht="30" customHeight="1" x14ac:dyDescent="0.25">
      <c r="A220" s="124"/>
      <c r="B220" s="75" t="s">
        <v>554</v>
      </c>
      <c r="C220" s="73" t="s">
        <v>555</v>
      </c>
      <c r="D220" s="73" t="s">
        <v>57</v>
      </c>
      <c r="E220" s="73" t="s">
        <v>1070</v>
      </c>
      <c r="F220" s="73" t="s">
        <v>13</v>
      </c>
      <c r="G220" s="15" t="s">
        <v>557</v>
      </c>
      <c r="H220" s="7">
        <v>16900</v>
      </c>
      <c r="I220" s="8">
        <v>0.25</v>
      </c>
      <c r="J220" s="9">
        <f>CEILING(H220*0.75,10)</f>
        <v>12680</v>
      </c>
    </row>
    <row r="221" spans="1:10" ht="20.100000000000001" customHeight="1" x14ac:dyDescent="0.25">
      <c r="A221" s="131"/>
      <c r="B221" s="131"/>
      <c r="C221" s="131"/>
      <c r="D221" s="131"/>
      <c r="E221" s="131"/>
      <c r="F221" s="131"/>
      <c r="G221" s="131"/>
      <c r="H221" s="131"/>
      <c r="I221" s="131"/>
      <c r="J221" s="131"/>
    </row>
    <row r="222" spans="1:10" ht="60" customHeight="1" x14ac:dyDescent="0.25">
      <c r="A222" s="117" t="s">
        <v>1648</v>
      </c>
      <c r="B222" s="118"/>
      <c r="C222" s="118"/>
      <c r="D222" s="118"/>
      <c r="E222" s="118"/>
      <c r="F222" s="118"/>
      <c r="G222" s="118"/>
      <c r="H222" s="118"/>
      <c r="I222" s="118"/>
      <c r="J222" s="118"/>
    </row>
    <row r="223" spans="1:10" ht="30" customHeight="1" x14ac:dyDescent="0.25">
      <c r="A223" s="73"/>
      <c r="B223" s="39" t="s">
        <v>2</v>
      </c>
      <c r="C223" s="4" t="s">
        <v>48</v>
      </c>
      <c r="D223" s="4" t="s">
        <v>49</v>
      </c>
      <c r="E223" s="39" t="s">
        <v>9</v>
      </c>
      <c r="F223" s="39" t="s">
        <v>10</v>
      </c>
      <c r="G223" s="4" t="s">
        <v>11</v>
      </c>
      <c r="H223" s="4" t="s">
        <v>17</v>
      </c>
      <c r="I223" s="4" t="s">
        <v>12</v>
      </c>
      <c r="J223" s="4" t="s">
        <v>18</v>
      </c>
    </row>
    <row r="224" spans="1:10" ht="30" customHeight="1" x14ac:dyDescent="0.25">
      <c r="A224" s="132"/>
      <c r="B224" s="39" t="s">
        <v>1096</v>
      </c>
      <c r="C224" s="33" t="s">
        <v>51</v>
      </c>
      <c r="D224" s="33" t="s">
        <v>55</v>
      </c>
      <c r="E224" s="73" t="s">
        <v>1070</v>
      </c>
      <c r="F224" s="73" t="s">
        <v>13</v>
      </c>
      <c r="G224" s="15" t="s">
        <v>1095</v>
      </c>
      <c r="H224" s="7">
        <v>12900</v>
      </c>
      <c r="I224" s="8">
        <v>0.2</v>
      </c>
      <c r="J224" s="9">
        <f>CEILING(H224*0.8,10)</f>
        <v>10320</v>
      </c>
    </row>
    <row r="225" spans="1:10" ht="30" customHeight="1" x14ac:dyDescent="0.25">
      <c r="A225" s="133"/>
      <c r="B225" s="75" t="s">
        <v>558</v>
      </c>
      <c r="C225" s="73" t="s">
        <v>291</v>
      </c>
      <c r="D225" s="73" t="s">
        <v>56</v>
      </c>
      <c r="E225" s="73" t="s">
        <v>1070</v>
      </c>
      <c r="F225" s="73" t="s">
        <v>13</v>
      </c>
      <c r="G225" s="15" t="s">
        <v>562</v>
      </c>
      <c r="H225" s="7">
        <v>4900</v>
      </c>
      <c r="I225" s="8">
        <v>0.2</v>
      </c>
      <c r="J225" s="9">
        <f>CEILING(H225*0.8,10)</f>
        <v>3920</v>
      </c>
    </row>
    <row r="226" spans="1:10" ht="30" customHeight="1" x14ac:dyDescent="0.25">
      <c r="A226" s="133"/>
      <c r="B226" s="75" t="s">
        <v>559</v>
      </c>
      <c r="C226" s="73" t="s">
        <v>60</v>
      </c>
      <c r="D226" s="73" t="s">
        <v>56</v>
      </c>
      <c r="E226" s="73" t="s">
        <v>1070</v>
      </c>
      <c r="F226" s="73" t="s">
        <v>13</v>
      </c>
      <c r="G226" s="15" t="s">
        <v>562</v>
      </c>
      <c r="H226" s="7">
        <v>5900</v>
      </c>
      <c r="I226" s="8">
        <v>0.2</v>
      </c>
      <c r="J226" s="9">
        <f>CEILING(H226*0.8,10)</f>
        <v>4720</v>
      </c>
    </row>
    <row r="227" spans="1:10" ht="30" customHeight="1" x14ac:dyDescent="0.25">
      <c r="A227" s="133"/>
      <c r="B227" s="75" t="s">
        <v>560</v>
      </c>
      <c r="C227" s="73" t="s">
        <v>65</v>
      </c>
      <c r="D227" s="73" t="s">
        <v>57</v>
      </c>
      <c r="E227" s="73" t="s">
        <v>1070</v>
      </c>
      <c r="F227" s="73" t="s">
        <v>13</v>
      </c>
      <c r="G227" s="15" t="s">
        <v>562</v>
      </c>
      <c r="H227" s="7">
        <v>4900</v>
      </c>
      <c r="I227" s="8">
        <v>0.2</v>
      </c>
      <c r="J227" s="9">
        <f>CEILING(H227*0.8,10)</f>
        <v>3920</v>
      </c>
    </row>
    <row r="228" spans="1:10" ht="30" customHeight="1" x14ac:dyDescent="0.25">
      <c r="A228" s="134"/>
      <c r="B228" s="75" t="s">
        <v>561</v>
      </c>
      <c r="C228" s="73" t="s">
        <v>218</v>
      </c>
      <c r="D228" s="73" t="s">
        <v>57</v>
      </c>
      <c r="E228" s="73" t="s">
        <v>1070</v>
      </c>
      <c r="F228" s="73" t="s">
        <v>13</v>
      </c>
      <c r="G228" s="15" t="s">
        <v>562</v>
      </c>
      <c r="H228" s="7">
        <v>5900</v>
      </c>
      <c r="I228" s="8">
        <v>0.2</v>
      </c>
      <c r="J228" s="9">
        <f>CEILING(H228*0.8,10)</f>
        <v>4720</v>
      </c>
    </row>
    <row r="229" spans="1:10" ht="20.100000000000001" customHeight="1" x14ac:dyDescent="0.25">
      <c r="A229" s="131"/>
      <c r="B229" s="131"/>
      <c r="C229" s="131"/>
      <c r="D229" s="131"/>
      <c r="E229" s="131"/>
      <c r="F229" s="131"/>
      <c r="G229" s="131"/>
      <c r="H229" s="131"/>
      <c r="I229" s="131"/>
      <c r="J229" s="131"/>
    </row>
    <row r="230" spans="1:10" ht="39.950000000000003" customHeight="1" x14ac:dyDescent="0.25">
      <c r="A230" s="117" t="s">
        <v>1475</v>
      </c>
      <c r="B230" s="118"/>
      <c r="C230" s="118"/>
      <c r="D230" s="118"/>
      <c r="E230" s="118"/>
      <c r="F230" s="118"/>
      <c r="G230" s="118"/>
      <c r="H230" s="118"/>
      <c r="I230" s="118"/>
      <c r="J230" s="118"/>
    </row>
    <row r="231" spans="1:10" ht="30" customHeight="1" x14ac:dyDescent="0.25">
      <c r="A231" s="73"/>
      <c r="B231" s="39" t="s">
        <v>2</v>
      </c>
      <c r="C231" s="4" t="s">
        <v>48</v>
      </c>
      <c r="D231" s="4" t="s">
        <v>49</v>
      </c>
      <c r="E231" s="39" t="s">
        <v>9</v>
      </c>
      <c r="F231" s="39" t="s">
        <v>10</v>
      </c>
      <c r="G231" s="4" t="s">
        <v>11</v>
      </c>
      <c r="H231" s="4" t="s">
        <v>17</v>
      </c>
      <c r="I231" s="4" t="s">
        <v>12</v>
      </c>
      <c r="J231" s="4" t="s">
        <v>18</v>
      </c>
    </row>
    <row r="232" spans="1:10" ht="20.100000000000001" customHeight="1" x14ac:dyDescent="0.25">
      <c r="A232" s="124"/>
      <c r="B232" s="39" t="s">
        <v>563</v>
      </c>
      <c r="C232" s="73" t="s">
        <v>260</v>
      </c>
      <c r="D232" s="73" t="s">
        <v>221</v>
      </c>
      <c r="E232" s="73" t="s">
        <v>1070</v>
      </c>
      <c r="F232" s="73" t="s">
        <v>13</v>
      </c>
      <c r="G232" s="15" t="s">
        <v>573</v>
      </c>
      <c r="H232" s="7">
        <v>74900</v>
      </c>
      <c r="I232" s="8">
        <v>0.15</v>
      </c>
      <c r="J232" s="9">
        <f>CEILING(H232*0.85,10)</f>
        <v>63670</v>
      </c>
    </row>
    <row r="233" spans="1:10" ht="20.100000000000001" customHeight="1" x14ac:dyDescent="0.25">
      <c r="A233" s="124"/>
      <c r="B233" s="39" t="s">
        <v>564</v>
      </c>
      <c r="C233" s="73" t="s">
        <v>536</v>
      </c>
      <c r="D233" s="73" t="s">
        <v>56</v>
      </c>
      <c r="E233" s="73" t="s">
        <v>1070</v>
      </c>
      <c r="F233" s="73" t="s">
        <v>13</v>
      </c>
      <c r="G233" s="15" t="s">
        <v>573</v>
      </c>
      <c r="H233" s="7">
        <v>72900</v>
      </c>
      <c r="I233" s="8">
        <v>0.15</v>
      </c>
      <c r="J233" s="9">
        <f t="shared" ref="J233:J239" si="12">CEILING(H233*0.85,10)</f>
        <v>61970</v>
      </c>
    </row>
    <row r="234" spans="1:10" ht="20.100000000000001" customHeight="1" x14ac:dyDescent="0.25">
      <c r="A234" s="124"/>
      <c r="B234" s="39" t="s">
        <v>565</v>
      </c>
      <c r="C234" s="73" t="s">
        <v>537</v>
      </c>
      <c r="D234" s="73" t="s">
        <v>261</v>
      </c>
      <c r="E234" s="73" t="s">
        <v>1070</v>
      </c>
      <c r="F234" s="73" t="s">
        <v>13</v>
      </c>
      <c r="G234" s="15" t="s">
        <v>574</v>
      </c>
      <c r="H234" s="7">
        <v>72900</v>
      </c>
      <c r="I234" s="8">
        <v>0.15</v>
      </c>
      <c r="J234" s="9">
        <f t="shared" si="12"/>
        <v>61970</v>
      </c>
    </row>
    <row r="235" spans="1:10" ht="20.100000000000001" customHeight="1" x14ac:dyDescent="0.25">
      <c r="A235" s="124"/>
      <c r="B235" s="39" t="s">
        <v>566</v>
      </c>
      <c r="C235" s="73" t="s">
        <v>269</v>
      </c>
      <c r="D235" s="73" t="s">
        <v>271</v>
      </c>
      <c r="E235" s="73" t="s">
        <v>1070</v>
      </c>
      <c r="F235" s="73" t="s">
        <v>13</v>
      </c>
      <c r="G235" s="15" t="s">
        <v>574</v>
      </c>
      <c r="H235" s="7">
        <v>62900</v>
      </c>
      <c r="I235" s="8">
        <v>0.15</v>
      </c>
      <c r="J235" s="9">
        <f t="shared" si="12"/>
        <v>53470</v>
      </c>
    </row>
    <row r="236" spans="1:10" ht="20.100000000000001" customHeight="1" x14ac:dyDescent="0.25">
      <c r="A236" s="124"/>
      <c r="B236" s="39" t="s">
        <v>567</v>
      </c>
      <c r="C236" s="73" t="s">
        <v>270</v>
      </c>
      <c r="D236" s="73" t="s">
        <v>57</v>
      </c>
      <c r="E236" s="73" t="s">
        <v>1070</v>
      </c>
      <c r="F236" s="73" t="s">
        <v>13</v>
      </c>
      <c r="G236" s="15" t="s">
        <v>574</v>
      </c>
      <c r="H236" s="7">
        <v>72900</v>
      </c>
      <c r="I236" s="8">
        <v>0.15</v>
      </c>
      <c r="J236" s="9">
        <f t="shared" si="12"/>
        <v>61970</v>
      </c>
    </row>
    <row r="237" spans="1:10" ht="20.100000000000001" customHeight="1" x14ac:dyDescent="0.25">
      <c r="A237" s="124"/>
      <c r="B237" s="39" t="s">
        <v>568</v>
      </c>
      <c r="C237" s="73" t="s">
        <v>69</v>
      </c>
      <c r="D237" s="73" t="s">
        <v>244</v>
      </c>
      <c r="E237" s="73" t="s">
        <v>1070</v>
      </c>
      <c r="F237" s="73" t="s">
        <v>13</v>
      </c>
      <c r="G237" s="15" t="s">
        <v>574</v>
      </c>
      <c r="H237" s="7">
        <v>72900</v>
      </c>
      <c r="I237" s="8">
        <v>0.15</v>
      </c>
      <c r="J237" s="9">
        <f t="shared" si="12"/>
        <v>61970</v>
      </c>
    </row>
    <row r="238" spans="1:10" ht="20.100000000000001" customHeight="1" x14ac:dyDescent="0.25">
      <c r="A238" s="124"/>
      <c r="B238" s="39" t="s">
        <v>569</v>
      </c>
      <c r="C238" s="73" t="s">
        <v>572</v>
      </c>
      <c r="D238" s="73" t="s">
        <v>187</v>
      </c>
      <c r="E238" s="73" t="s">
        <v>1070</v>
      </c>
      <c r="F238" s="73" t="s">
        <v>13</v>
      </c>
      <c r="G238" s="15" t="s">
        <v>574</v>
      </c>
      <c r="H238" s="7">
        <v>72900</v>
      </c>
      <c r="I238" s="8">
        <v>0.15</v>
      </c>
      <c r="J238" s="9">
        <f t="shared" si="12"/>
        <v>61970</v>
      </c>
    </row>
    <row r="239" spans="1:10" ht="20.100000000000001" customHeight="1" x14ac:dyDescent="0.25">
      <c r="A239" s="124"/>
      <c r="B239" s="39" t="s">
        <v>570</v>
      </c>
      <c r="C239" s="73" t="s">
        <v>260</v>
      </c>
      <c r="D239" s="73" t="s">
        <v>220</v>
      </c>
      <c r="E239" s="73" t="s">
        <v>1070</v>
      </c>
      <c r="F239" s="73" t="s">
        <v>13</v>
      </c>
      <c r="G239" s="15" t="s">
        <v>30</v>
      </c>
      <c r="H239" s="7">
        <v>97900</v>
      </c>
      <c r="I239" s="8">
        <v>0.15</v>
      </c>
      <c r="J239" s="9">
        <f t="shared" si="12"/>
        <v>83220</v>
      </c>
    </row>
    <row r="240" spans="1:10" ht="20.100000000000001" customHeight="1" x14ac:dyDescent="0.25">
      <c r="A240" s="124"/>
      <c r="B240" s="39" t="s">
        <v>571</v>
      </c>
      <c r="C240" s="73" t="s">
        <v>269</v>
      </c>
      <c r="D240" s="73" t="s">
        <v>261</v>
      </c>
      <c r="E240" s="73" t="s">
        <v>1070</v>
      </c>
      <c r="F240" s="73" t="s">
        <v>13</v>
      </c>
      <c r="G240" s="15" t="s">
        <v>467</v>
      </c>
      <c r="H240" s="7">
        <v>83900</v>
      </c>
      <c r="I240" s="8">
        <v>0.15</v>
      </c>
      <c r="J240" s="9">
        <f>CEILING(H240*0.85,10)</f>
        <v>71320</v>
      </c>
    </row>
    <row r="241" spans="1:10" ht="20.100000000000001" customHeight="1" x14ac:dyDescent="0.25">
      <c r="A241" s="131"/>
      <c r="B241" s="131"/>
      <c r="C241" s="131"/>
      <c r="D241" s="131"/>
      <c r="E241" s="131"/>
      <c r="F241" s="131"/>
      <c r="G241" s="131"/>
      <c r="H241" s="131"/>
      <c r="I241" s="131"/>
      <c r="J241" s="131"/>
    </row>
    <row r="242" spans="1:10" ht="39.950000000000003" customHeight="1" x14ac:dyDescent="0.25">
      <c r="A242" s="117" t="s">
        <v>1651</v>
      </c>
      <c r="B242" s="118"/>
      <c r="C242" s="118"/>
      <c r="D242" s="118"/>
      <c r="E242" s="118"/>
      <c r="F242" s="118"/>
      <c r="G242" s="118"/>
      <c r="H242" s="118"/>
      <c r="I242" s="118"/>
      <c r="J242" s="118"/>
    </row>
    <row r="243" spans="1:10" ht="30" customHeight="1" x14ac:dyDescent="0.25">
      <c r="A243" s="73"/>
      <c r="B243" s="39" t="s">
        <v>2</v>
      </c>
      <c r="C243" s="4" t="s">
        <v>48</v>
      </c>
      <c r="D243" s="4" t="s">
        <v>49</v>
      </c>
      <c r="E243" s="39" t="s">
        <v>9</v>
      </c>
      <c r="F243" s="39" t="s">
        <v>10</v>
      </c>
      <c r="G243" s="4" t="s">
        <v>11</v>
      </c>
      <c r="H243" s="4" t="s">
        <v>17</v>
      </c>
      <c r="I243" s="4" t="s">
        <v>12</v>
      </c>
      <c r="J243" s="4" t="s">
        <v>18</v>
      </c>
    </row>
    <row r="244" spans="1:10" ht="39.950000000000003" customHeight="1" x14ac:dyDescent="0.25">
      <c r="A244" s="124"/>
      <c r="B244" s="75" t="s">
        <v>575</v>
      </c>
      <c r="C244" s="73" t="s">
        <v>578</v>
      </c>
      <c r="D244" s="73" t="s">
        <v>1060</v>
      </c>
      <c r="E244" s="73" t="s">
        <v>273</v>
      </c>
      <c r="F244" s="73" t="s">
        <v>13</v>
      </c>
      <c r="G244" s="15" t="s">
        <v>579</v>
      </c>
      <c r="H244" s="7">
        <v>69900</v>
      </c>
      <c r="I244" s="8">
        <v>0.3</v>
      </c>
      <c r="J244" s="9">
        <f>CEILING(H244*0.7,10)</f>
        <v>48930</v>
      </c>
    </row>
    <row r="245" spans="1:10" ht="39.950000000000003" customHeight="1" x14ac:dyDescent="0.25">
      <c r="A245" s="124"/>
      <c r="B245" s="75" t="s">
        <v>576</v>
      </c>
      <c r="C245" s="73" t="s">
        <v>68</v>
      </c>
      <c r="D245" s="73" t="s">
        <v>1061</v>
      </c>
      <c r="E245" s="73" t="s">
        <v>273</v>
      </c>
      <c r="F245" s="73" t="s">
        <v>13</v>
      </c>
      <c r="G245" s="15" t="s">
        <v>579</v>
      </c>
      <c r="H245" s="7">
        <v>69900</v>
      </c>
      <c r="I245" s="8">
        <v>0.3</v>
      </c>
      <c r="J245" s="9">
        <f>CEILING(H245*0.7,10)</f>
        <v>48930</v>
      </c>
    </row>
    <row r="246" spans="1:10" ht="39.950000000000003" customHeight="1" x14ac:dyDescent="0.25">
      <c r="A246" s="124"/>
      <c r="B246" s="75" t="s">
        <v>577</v>
      </c>
      <c r="C246" s="73" t="s">
        <v>184</v>
      </c>
      <c r="D246" s="73" t="s">
        <v>1062</v>
      </c>
      <c r="E246" s="73" t="s">
        <v>273</v>
      </c>
      <c r="F246" s="73" t="s">
        <v>13</v>
      </c>
      <c r="G246" s="15" t="s">
        <v>580</v>
      </c>
      <c r="H246" s="7">
        <v>89900</v>
      </c>
      <c r="I246" s="8">
        <v>0.3</v>
      </c>
      <c r="J246" s="9">
        <f>CEILING(H246*0.7,10)</f>
        <v>62930</v>
      </c>
    </row>
    <row r="247" spans="1:10" ht="20.100000000000001" customHeight="1" x14ac:dyDescent="0.25">
      <c r="A247" s="131"/>
      <c r="B247" s="131"/>
      <c r="C247" s="131"/>
      <c r="D247" s="131"/>
      <c r="E247" s="131"/>
      <c r="F247" s="131"/>
      <c r="G247" s="131"/>
      <c r="H247" s="131"/>
      <c r="I247" s="131"/>
      <c r="J247" s="131"/>
    </row>
    <row r="248" spans="1:10" ht="39.950000000000003" customHeight="1" x14ac:dyDescent="0.25">
      <c r="A248" s="117" t="s">
        <v>1652</v>
      </c>
      <c r="B248" s="118"/>
      <c r="C248" s="118"/>
      <c r="D248" s="118"/>
      <c r="E248" s="118"/>
      <c r="F248" s="118"/>
      <c r="G248" s="118"/>
      <c r="H248" s="118"/>
      <c r="I248" s="118"/>
      <c r="J248" s="118"/>
    </row>
    <row r="249" spans="1:10" ht="30" customHeight="1" x14ac:dyDescent="0.25">
      <c r="A249" s="73"/>
      <c r="B249" s="39" t="s">
        <v>2</v>
      </c>
      <c r="C249" s="4" t="s">
        <v>48</v>
      </c>
      <c r="D249" s="4" t="s">
        <v>49</v>
      </c>
      <c r="E249" s="39" t="s">
        <v>9</v>
      </c>
      <c r="F249" s="39" t="s">
        <v>10</v>
      </c>
      <c r="G249" s="4" t="s">
        <v>11</v>
      </c>
      <c r="H249" s="4" t="s">
        <v>17</v>
      </c>
      <c r="I249" s="4" t="s">
        <v>12</v>
      </c>
      <c r="J249" s="4" t="s">
        <v>18</v>
      </c>
    </row>
    <row r="250" spans="1:10" ht="30" customHeight="1" x14ac:dyDescent="0.25">
      <c r="A250" s="124"/>
      <c r="B250" s="75" t="s">
        <v>581</v>
      </c>
      <c r="C250" s="73" t="s">
        <v>184</v>
      </c>
      <c r="D250" s="73" t="s">
        <v>1063</v>
      </c>
      <c r="E250" s="73" t="s">
        <v>273</v>
      </c>
      <c r="F250" s="73" t="s">
        <v>13</v>
      </c>
      <c r="G250" s="15" t="s">
        <v>591</v>
      </c>
      <c r="H250" s="7">
        <v>37900</v>
      </c>
      <c r="I250" s="8">
        <v>0.25</v>
      </c>
      <c r="J250" s="9">
        <f>CEILING(H250*0.75,10)</f>
        <v>28430</v>
      </c>
    </row>
    <row r="251" spans="1:10" ht="30" customHeight="1" x14ac:dyDescent="0.25">
      <c r="A251" s="124"/>
      <c r="B251" s="75" t="s">
        <v>582</v>
      </c>
      <c r="C251" s="73" t="s">
        <v>72</v>
      </c>
      <c r="D251" s="73" t="s">
        <v>1064</v>
      </c>
      <c r="E251" s="73" t="s">
        <v>273</v>
      </c>
      <c r="F251" s="73" t="s">
        <v>13</v>
      </c>
      <c r="G251" s="15" t="s">
        <v>591</v>
      </c>
      <c r="H251" s="7">
        <v>39900</v>
      </c>
      <c r="I251" s="8">
        <v>0.25</v>
      </c>
      <c r="J251" s="9">
        <f t="shared" ref="J251:J256" si="13">CEILING(H251*0.75,10)</f>
        <v>29930</v>
      </c>
    </row>
    <row r="252" spans="1:10" ht="30" customHeight="1" x14ac:dyDescent="0.25">
      <c r="A252" s="124"/>
      <c r="B252" s="75" t="s">
        <v>583</v>
      </c>
      <c r="C252" s="73" t="s">
        <v>589</v>
      </c>
      <c r="D252" s="73" t="s">
        <v>1065</v>
      </c>
      <c r="E252" s="73" t="s">
        <v>273</v>
      </c>
      <c r="F252" s="73" t="s">
        <v>13</v>
      </c>
      <c r="G252" s="15" t="s">
        <v>591</v>
      </c>
      <c r="H252" s="7">
        <v>39900</v>
      </c>
      <c r="I252" s="8">
        <v>0.25</v>
      </c>
      <c r="J252" s="9">
        <f t="shared" si="13"/>
        <v>29930</v>
      </c>
    </row>
    <row r="253" spans="1:10" ht="30" customHeight="1" x14ac:dyDescent="0.25">
      <c r="A253" s="124"/>
      <c r="B253" s="75" t="s">
        <v>584</v>
      </c>
      <c r="C253" s="73" t="s">
        <v>184</v>
      </c>
      <c r="D253" s="73" t="s">
        <v>1063</v>
      </c>
      <c r="E253" s="73" t="s">
        <v>273</v>
      </c>
      <c r="F253" s="73" t="s">
        <v>13</v>
      </c>
      <c r="G253" s="15" t="s">
        <v>591</v>
      </c>
      <c r="H253" s="7">
        <v>39900</v>
      </c>
      <c r="I253" s="8">
        <v>0.25</v>
      </c>
      <c r="J253" s="9">
        <f t="shared" si="13"/>
        <v>29930</v>
      </c>
    </row>
    <row r="254" spans="1:10" ht="30" customHeight="1" x14ac:dyDescent="0.25">
      <c r="A254" s="124"/>
      <c r="B254" s="75" t="s">
        <v>585</v>
      </c>
      <c r="C254" s="73" t="s">
        <v>72</v>
      </c>
      <c r="D254" s="73" t="s">
        <v>1064</v>
      </c>
      <c r="E254" s="73" t="s">
        <v>273</v>
      </c>
      <c r="F254" s="73" t="s">
        <v>13</v>
      </c>
      <c r="G254" s="15" t="s">
        <v>591</v>
      </c>
      <c r="H254" s="7">
        <v>42900</v>
      </c>
      <c r="I254" s="8">
        <v>0.25</v>
      </c>
      <c r="J254" s="9">
        <f t="shared" si="13"/>
        <v>32180</v>
      </c>
    </row>
    <row r="255" spans="1:10" ht="30" customHeight="1" x14ac:dyDescent="0.25">
      <c r="A255" s="124"/>
      <c r="B255" s="75" t="s">
        <v>586</v>
      </c>
      <c r="C255" s="73" t="s">
        <v>589</v>
      </c>
      <c r="D255" s="73" t="s">
        <v>1065</v>
      </c>
      <c r="E255" s="73" t="s">
        <v>273</v>
      </c>
      <c r="F255" s="73" t="s">
        <v>13</v>
      </c>
      <c r="G255" s="15" t="s">
        <v>591</v>
      </c>
      <c r="H255" s="7">
        <v>42900</v>
      </c>
      <c r="I255" s="8">
        <v>0.25</v>
      </c>
      <c r="J255" s="9">
        <f t="shared" si="13"/>
        <v>32180</v>
      </c>
    </row>
    <row r="256" spans="1:10" ht="30" customHeight="1" x14ac:dyDescent="0.25">
      <c r="A256" s="124"/>
      <c r="B256" s="75" t="s">
        <v>587</v>
      </c>
      <c r="C256" s="73" t="s">
        <v>72</v>
      </c>
      <c r="D256" s="73" t="s">
        <v>1064</v>
      </c>
      <c r="E256" s="73" t="s">
        <v>273</v>
      </c>
      <c r="F256" s="73" t="s">
        <v>13</v>
      </c>
      <c r="G256" s="15" t="s">
        <v>590</v>
      </c>
      <c r="H256" s="7">
        <v>42900</v>
      </c>
      <c r="I256" s="8">
        <v>0.25</v>
      </c>
      <c r="J256" s="9">
        <f t="shared" si="13"/>
        <v>32180</v>
      </c>
    </row>
    <row r="257" spans="1:10" ht="30" customHeight="1" x14ac:dyDescent="0.25">
      <c r="A257" s="124"/>
      <c r="B257" s="75" t="s">
        <v>588</v>
      </c>
      <c r="C257" s="73" t="s">
        <v>589</v>
      </c>
      <c r="D257" s="73" t="s">
        <v>1065</v>
      </c>
      <c r="E257" s="73" t="s">
        <v>273</v>
      </c>
      <c r="F257" s="73" t="s">
        <v>13</v>
      </c>
      <c r="G257" s="15" t="s">
        <v>590</v>
      </c>
      <c r="H257" s="7">
        <v>44900</v>
      </c>
      <c r="I257" s="8">
        <v>0.25</v>
      </c>
      <c r="J257" s="9">
        <f>CEILING(H257*0.75,10)</f>
        <v>33680</v>
      </c>
    </row>
    <row r="258" spans="1:10" ht="20.100000000000001" customHeight="1" x14ac:dyDescent="0.25">
      <c r="A258" s="131"/>
      <c r="B258" s="131"/>
      <c r="C258" s="131"/>
      <c r="D258" s="131"/>
      <c r="E258" s="131"/>
      <c r="F258" s="131"/>
      <c r="G258" s="131"/>
      <c r="H258" s="131"/>
      <c r="I258" s="131"/>
      <c r="J258" s="131"/>
    </row>
    <row r="259" spans="1:10" ht="39.950000000000003" customHeight="1" x14ac:dyDescent="0.25">
      <c r="A259" s="117" t="s">
        <v>1653</v>
      </c>
      <c r="B259" s="118"/>
      <c r="C259" s="118"/>
      <c r="D259" s="118"/>
      <c r="E259" s="118"/>
      <c r="F259" s="118"/>
      <c r="G259" s="118"/>
      <c r="H259" s="118"/>
      <c r="I259" s="118"/>
      <c r="J259" s="118"/>
    </row>
    <row r="260" spans="1:10" ht="30" customHeight="1" x14ac:dyDescent="0.25">
      <c r="A260" s="73"/>
      <c r="B260" s="39" t="s">
        <v>2</v>
      </c>
      <c r="C260" s="4" t="s">
        <v>48</v>
      </c>
      <c r="D260" s="4" t="s">
        <v>49</v>
      </c>
      <c r="E260" s="39" t="s">
        <v>9</v>
      </c>
      <c r="F260" s="39" t="s">
        <v>10</v>
      </c>
      <c r="G260" s="4" t="s">
        <v>11</v>
      </c>
      <c r="H260" s="4" t="s">
        <v>17</v>
      </c>
      <c r="I260" s="4" t="s">
        <v>12</v>
      </c>
      <c r="J260" s="4" t="s">
        <v>18</v>
      </c>
    </row>
    <row r="261" spans="1:10" ht="20.100000000000001" customHeight="1" x14ac:dyDescent="0.25">
      <c r="A261" s="124"/>
      <c r="B261" s="75" t="s">
        <v>592</v>
      </c>
      <c r="C261" s="73" t="s">
        <v>599</v>
      </c>
      <c r="D261" s="73" t="s">
        <v>524</v>
      </c>
      <c r="E261" s="73" t="s">
        <v>273</v>
      </c>
      <c r="F261" s="73" t="s">
        <v>13</v>
      </c>
      <c r="G261" s="15" t="s">
        <v>579</v>
      </c>
      <c r="H261" s="7">
        <v>69900</v>
      </c>
      <c r="I261" s="8">
        <v>0.25</v>
      </c>
      <c r="J261" s="9">
        <f t="shared" ref="J261:J267" si="14">CEILING(H261*0.75,10)</f>
        <v>52430</v>
      </c>
    </row>
    <row r="262" spans="1:10" ht="20.100000000000001" customHeight="1" x14ac:dyDescent="0.25">
      <c r="A262" s="124"/>
      <c r="B262" s="75" t="s">
        <v>593</v>
      </c>
      <c r="C262" s="73" t="s">
        <v>600</v>
      </c>
      <c r="D262" s="73" t="s">
        <v>604</v>
      </c>
      <c r="E262" s="73" t="s">
        <v>273</v>
      </c>
      <c r="F262" s="73" t="s">
        <v>13</v>
      </c>
      <c r="G262" s="15" t="s">
        <v>606</v>
      </c>
      <c r="H262" s="7">
        <v>75900</v>
      </c>
      <c r="I262" s="8">
        <v>0.25</v>
      </c>
      <c r="J262" s="9">
        <f t="shared" si="14"/>
        <v>56930</v>
      </c>
    </row>
    <row r="263" spans="1:10" ht="20.100000000000001" customHeight="1" x14ac:dyDescent="0.25">
      <c r="A263" s="124"/>
      <c r="B263" s="75" t="s">
        <v>594</v>
      </c>
      <c r="C263" s="73" t="s">
        <v>601</v>
      </c>
      <c r="D263" s="73" t="s">
        <v>605</v>
      </c>
      <c r="E263" s="73" t="s">
        <v>273</v>
      </c>
      <c r="F263" s="73" t="s">
        <v>13</v>
      </c>
      <c r="G263" s="15" t="s">
        <v>590</v>
      </c>
      <c r="H263" s="7">
        <v>82900</v>
      </c>
      <c r="I263" s="8">
        <v>0.25</v>
      </c>
      <c r="J263" s="9">
        <f t="shared" si="14"/>
        <v>62180</v>
      </c>
    </row>
    <row r="264" spans="1:10" ht="20.100000000000001" customHeight="1" x14ac:dyDescent="0.25">
      <c r="A264" s="124"/>
      <c r="B264" s="75" t="s">
        <v>595</v>
      </c>
      <c r="C264" s="73" t="s">
        <v>270</v>
      </c>
      <c r="D264" s="73" t="s">
        <v>57</v>
      </c>
      <c r="E264" s="73" t="s">
        <v>273</v>
      </c>
      <c r="F264" s="73" t="s">
        <v>13</v>
      </c>
      <c r="G264" s="15" t="s">
        <v>579</v>
      </c>
      <c r="H264" s="7">
        <v>74900</v>
      </c>
      <c r="I264" s="8">
        <v>0.25</v>
      </c>
      <c r="J264" s="9">
        <f t="shared" si="14"/>
        <v>56180</v>
      </c>
    </row>
    <row r="265" spans="1:10" ht="20.100000000000001" customHeight="1" x14ac:dyDescent="0.25">
      <c r="A265" s="124"/>
      <c r="B265" s="75" t="s">
        <v>596</v>
      </c>
      <c r="C265" s="73" t="s">
        <v>72</v>
      </c>
      <c r="D265" s="73" t="s">
        <v>187</v>
      </c>
      <c r="E265" s="73" t="s">
        <v>273</v>
      </c>
      <c r="F265" s="73" t="s">
        <v>13</v>
      </c>
      <c r="G265" s="15" t="s">
        <v>606</v>
      </c>
      <c r="H265" s="7">
        <v>85900</v>
      </c>
      <c r="I265" s="8">
        <v>0.25</v>
      </c>
      <c r="J265" s="9">
        <f t="shared" si="14"/>
        <v>64430</v>
      </c>
    </row>
    <row r="266" spans="1:10" ht="20.100000000000001" customHeight="1" x14ac:dyDescent="0.25">
      <c r="A266" s="124"/>
      <c r="B266" s="75" t="s">
        <v>597</v>
      </c>
      <c r="C266" s="73" t="s">
        <v>602</v>
      </c>
      <c r="D266" s="73" t="s">
        <v>538</v>
      </c>
      <c r="E266" s="73" t="s">
        <v>273</v>
      </c>
      <c r="F266" s="73" t="s">
        <v>13</v>
      </c>
      <c r="G266" s="15" t="s">
        <v>590</v>
      </c>
      <c r="H266" s="7">
        <v>91900</v>
      </c>
      <c r="I266" s="8">
        <v>0.25</v>
      </c>
      <c r="J266" s="9">
        <f t="shared" si="14"/>
        <v>68930</v>
      </c>
    </row>
    <row r="267" spans="1:10" ht="20.100000000000001" customHeight="1" x14ac:dyDescent="0.25">
      <c r="A267" s="124"/>
      <c r="B267" s="75" t="s">
        <v>598</v>
      </c>
      <c r="C267" s="73" t="s">
        <v>603</v>
      </c>
      <c r="D267" s="73" t="s">
        <v>539</v>
      </c>
      <c r="E267" s="73" t="s">
        <v>273</v>
      </c>
      <c r="F267" s="73" t="s">
        <v>13</v>
      </c>
      <c r="G267" s="15" t="s">
        <v>590</v>
      </c>
      <c r="H267" s="7">
        <v>84900</v>
      </c>
      <c r="I267" s="8">
        <v>0.25</v>
      </c>
      <c r="J267" s="9">
        <f t="shared" si="14"/>
        <v>63680</v>
      </c>
    </row>
    <row r="268" spans="1:10" ht="20.100000000000001" customHeight="1" x14ac:dyDescent="0.25">
      <c r="A268" s="131"/>
      <c r="B268" s="131"/>
      <c r="C268" s="131"/>
      <c r="D268" s="131"/>
      <c r="E268" s="131"/>
      <c r="F268" s="131"/>
      <c r="G268" s="131"/>
      <c r="H268" s="131"/>
      <c r="I268" s="131"/>
      <c r="J268" s="131"/>
    </row>
    <row r="269" spans="1:10" ht="60" customHeight="1" x14ac:dyDescent="0.25">
      <c r="A269" s="117" t="s">
        <v>1810</v>
      </c>
      <c r="B269" s="118"/>
      <c r="C269" s="118"/>
      <c r="D269" s="118"/>
      <c r="E269" s="118"/>
      <c r="F269" s="118"/>
      <c r="G269" s="118"/>
      <c r="H269" s="118"/>
      <c r="I269" s="118"/>
      <c r="J269" s="118"/>
    </row>
    <row r="270" spans="1:10" ht="30" customHeight="1" x14ac:dyDescent="0.25">
      <c r="A270" s="73"/>
      <c r="B270" s="39" t="s">
        <v>2</v>
      </c>
      <c r="C270" s="4" t="s">
        <v>48</v>
      </c>
      <c r="D270" s="4" t="s">
        <v>49</v>
      </c>
      <c r="E270" s="39" t="s">
        <v>9</v>
      </c>
      <c r="F270" s="39" t="s">
        <v>10</v>
      </c>
      <c r="G270" s="4" t="s">
        <v>11</v>
      </c>
      <c r="H270" s="4" t="s">
        <v>17</v>
      </c>
      <c r="I270" s="4" t="s">
        <v>12</v>
      </c>
      <c r="J270" s="4" t="s">
        <v>18</v>
      </c>
    </row>
    <row r="271" spans="1:10" ht="20.100000000000001" customHeight="1" x14ac:dyDescent="0.25">
      <c r="A271" s="124"/>
      <c r="B271" s="68" t="s">
        <v>607</v>
      </c>
      <c r="C271" s="69" t="s">
        <v>599</v>
      </c>
      <c r="D271" s="69" t="s">
        <v>524</v>
      </c>
      <c r="E271" s="69" t="s">
        <v>273</v>
      </c>
      <c r="F271" s="69" t="s">
        <v>13</v>
      </c>
      <c r="G271" s="78" t="s">
        <v>579</v>
      </c>
      <c r="H271" s="70" t="s">
        <v>222</v>
      </c>
      <c r="I271" s="71" t="s">
        <v>222</v>
      </c>
      <c r="J271" s="72" t="s">
        <v>222</v>
      </c>
    </row>
    <row r="272" spans="1:10" ht="20.100000000000001" customHeight="1" x14ac:dyDescent="0.25">
      <c r="A272" s="124"/>
      <c r="B272" s="68" t="s">
        <v>608</v>
      </c>
      <c r="C272" s="69" t="s">
        <v>600</v>
      </c>
      <c r="D272" s="69" t="s">
        <v>604</v>
      </c>
      <c r="E272" s="69" t="s">
        <v>273</v>
      </c>
      <c r="F272" s="69" t="s">
        <v>13</v>
      </c>
      <c r="G272" s="78" t="s">
        <v>606</v>
      </c>
      <c r="H272" s="70" t="s">
        <v>222</v>
      </c>
      <c r="I272" s="71" t="s">
        <v>222</v>
      </c>
      <c r="J272" s="72" t="s">
        <v>222</v>
      </c>
    </row>
    <row r="273" spans="1:10" ht="20.100000000000001" customHeight="1" x14ac:dyDescent="0.25">
      <c r="A273" s="124"/>
      <c r="B273" s="75" t="s">
        <v>609</v>
      </c>
      <c r="C273" s="10" t="s">
        <v>601</v>
      </c>
      <c r="D273" s="10" t="s">
        <v>605</v>
      </c>
      <c r="E273" s="10" t="s">
        <v>273</v>
      </c>
      <c r="F273" s="10" t="s">
        <v>13</v>
      </c>
      <c r="G273" s="15" t="s">
        <v>590</v>
      </c>
      <c r="H273" s="7">
        <v>55900</v>
      </c>
      <c r="I273" s="8">
        <v>0.25</v>
      </c>
      <c r="J273" s="25">
        <f>CEILING(H273*0.75,10)</f>
        <v>41930</v>
      </c>
    </row>
    <row r="274" spans="1:10" ht="20.100000000000001" customHeight="1" x14ac:dyDescent="0.25">
      <c r="A274" s="124"/>
      <c r="B274" s="68" t="s">
        <v>610</v>
      </c>
      <c r="C274" s="69" t="s">
        <v>599</v>
      </c>
      <c r="D274" s="69" t="s">
        <v>524</v>
      </c>
      <c r="E274" s="69" t="s">
        <v>273</v>
      </c>
      <c r="F274" s="69" t="s">
        <v>13</v>
      </c>
      <c r="G274" s="78" t="s">
        <v>579</v>
      </c>
      <c r="H274" s="70" t="s">
        <v>222</v>
      </c>
      <c r="I274" s="71" t="s">
        <v>222</v>
      </c>
      <c r="J274" s="71" t="s">
        <v>222</v>
      </c>
    </row>
    <row r="275" spans="1:10" ht="20.100000000000001" customHeight="1" x14ac:dyDescent="0.25">
      <c r="A275" s="124"/>
      <c r="B275" s="75" t="s">
        <v>611</v>
      </c>
      <c r="C275" s="10" t="s">
        <v>600</v>
      </c>
      <c r="D275" s="10" t="s">
        <v>604</v>
      </c>
      <c r="E275" s="10" t="s">
        <v>273</v>
      </c>
      <c r="F275" s="10" t="s">
        <v>13</v>
      </c>
      <c r="G275" s="15" t="s">
        <v>606</v>
      </c>
      <c r="H275" s="7">
        <v>59900</v>
      </c>
      <c r="I275" s="8">
        <v>0.25</v>
      </c>
      <c r="J275" s="25">
        <f>CEILING(H275*0.75,10)</f>
        <v>44930</v>
      </c>
    </row>
    <row r="276" spans="1:10" ht="20.100000000000001" customHeight="1" x14ac:dyDescent="0.25">
      <c r="A276" s="124"/>
      <c r="B276" s="68" t="s">
        <v>612</v>
      </c>
      <c r="C276" s="69" t="s">
        <v>601</v>
      </c>
      <c r="D276" s="69" t="s">
        <v>605</v>
      </c>
      <c r="E276" s="69" t="s">
        <v>273</v>
      </c>
      <c r="F276" s="69" t="s">
        <v>13</v>
      </c>
      <c r="G276" s="78" t="s">
        <v>590</v>
      </c>
      <c r="H276" s="70" t="s">
        <v>222</v>
      </c>
      <c r="I276" s="71" t="s">
        <v>222</v>
      </c>
      <c r="J276" s="72" t="s">
        <v>222</v>
      </c>
    </row>
    <row r="277" spans="1:10" ht="20.100000000000001" customHeight="1" x14ac:dyDescent="0.25">
      <c r="A277" s="131"/>
      <c r="B277" s="131"/>
      <c r="C277" s="131"/>
      <c r="D277" s="131"/>
      <c r="E277" s="131"/>
      <c r="F277" s="131"/>
      <c r="G277" s="131"/>
      <c r="H277" s="131"/>
      <c r="I277" s="131"/>
      <c r="J277" s="131"/>
    </row>
    <row r="278" spans="1:10" ht="60" customHeight="1" x14ac:dyDescent="0.25">
      <c r="A278" s="117" t="s">
        <v>1972</v>
      </c>
      <c r="B278" s="118"/>
      <c r="C278" s="118"/>
      <c r="D278" s="118"/>
      <c r="E278" s="118"/>
      <c r="F278" s="118"/>
      <c r="G278" s="118"/>
      <c r="H278" s="118"/>
      <c r="I278" s="118"/>
      <c r="J278" s="118"/>
    </row>
    <row r="279" spans="1:10" ht="30" customHeight="1" x14ac:dyDescent="0.25">
      <c r="A279" s="73"/>
      <c r="B279" s="39" t="s">
        <v>2</v>
      </c>
      <c r="C279" s="4" t="s">
        <v>48</v>
      </c>
      <c r="D279" s="4" t="s">
        <v>49</v>
      </c>
      <c r="E279" s="39" t="s">
        <v>9</v>
      </c>
      <c r="F279" s="39" t="s">
        <v>10</v>
      </c>
      <c r="G279" s="4" t="s">
        <v>11</v>
      </c>
      <c r="H279" s="4" t="s">
        <v>17</v>
      </c>
      <c r="I279" s="4" t="s">
        <v>12</v>
      </c>
      <c r="J279" s="4" t="s">
        <v>18</v>
      </c>
    </row>
    <row r="280" spans="1:10" ht="20.100000000000001" customHeight="1" x14ac:dyDescent="0.25">
      <c r="A280" s="124"/>
      <c r="B280" s="81" t="s">
        <v>613</v>
      </c>
      <c r="C280" s="69" t="s">
        <v>270</v>
      </c>
      <c r="D280" s="69" t="s">
        <v>57</v>
      </c>
      <c r="E280" s="69" t="s">
        <v>273</v>
      </c>
      <c r="F280" s="69" t="s">
        <v>13</v>
      </c>
      <c r="G280" s="78" t="s">
        <v>579</v>
      </c>
      <c r="H280" s="70" t="s">
        <v>222</v>
      </c>
      <c r="I280" s="71" t="s">
        <v>222</v>
      </c>
      <c r="J280" s="71" t="s">
        <v>222</v>
      </c>
    </row>
    <row r="281" spans="1:10" ht="20.100000000000001" customHeight="1" x14ac:dyDescent="0.25">
      <c r="A281" s="124"/>
      <c r="B281" s="81" t="s">
        <v>614</v>
      </c>
      <c r="C281" s="69" t="s">
        <v>602</v>
      </c>
      <c r="D281" s="69" t="s">
        <v>538</v>
      </c>
      <c r="E281" s="69" t="s">
        <v>273</v>
      </c>
      <c r="F281" s="69" t="s">
        <v>13</v>
      </c>
      <c r="G281" s="78" t="s">
        <v>590</v>
      </c>
      <c r="H281" s="70" t="s">
        <v>222</v>
      </c>
      <c r="I281" s="71" t="s">
        <v>222</v>
      </c>
      <c r="J281" s="71" t="s">
        <v>222</v>
      </c>
    </row>
    <row r="282" spans="1:10" ht="20.100000000000001" customHeight="1" x14ac:dyDescent="0.25">
      <c r="A282" s="124"/>
      <c r="B282" s="81" t="s">
        <v>1106</v>
      </c>
      <c r="C282" s="69" t="s">
        <v>603</v>
      </c>
      <c r="D282" s="69" t="s">
        <v>539</v>
      </c>
      <c r="E282" s="69" t="s">
        <v>222</v>
      </c>
      <c r="F282" s="69" t="s">
        <v>13</v>
      </c>
      <c r="G282" s="78" t="s">
        <v>590</v>
      </c>
      <c r="H282" s="70" t="s">
        <v>222</v>
      </c>
      <c r="I282" s="71" t="s">
        <v>222</v>
      </c>
      <c r="J282" s="71" t="s">
        <v>222</v>
      </c>
    </row>
    <row r="283" spans="1:10" ht="20.100000000000001" customHeight="1" x14ac:dyDescent="0.25">
      <c r="A283" s="124"/>
      <c r="B283" s="81" t="s">
        <v>615</v>
      </c>
      <c r="C283" s="69" t="s">
        <v>270</v>
      </c>
      <c r="D283" s="69" t="s">
        <v>57</v>
      </c>
      <c r="E283" s="69" t="s">
        <v>273</v>
      </c>
      <c r="F283" s="69" t="s">
        <v>13</v>
      </c>
      <c r="G283" s="78" t="s">
        <v>579</v>
      </c>
      <c r="H283" s="70" t="s">
        <v>222</v>
      </c>
      <c r="I283" s="71" t="s">
        <v>222</v>
      </c>
      <c r="J283" s="71" t="s">
        <v>222</v>
      </c>
    </row>
    <row r="284" spans="1:10" ht="20.100000000000001" customHeight="1" x14ac:dyDescent="0.25">
      <c r="A284" s="124"/>
      <c r="B284" s="81" t="s">
        <v>616</v>
      </c>
      <c r="C284" s="69" t="s">
        <v>602</v>
      </c>
      <c r="D284" s="69" t="s">
        <v>538</v>
      </c>
      <c r="E284" s="69" t="s">
        <v>273</v>
      </c>
      <c r="F284" s="69" t="s">
        <v>13</v>
      </c>
      <c r="G284" s="78" t="s">
        <v>590</v>
      </c>
      <c r="H284" s="70" t="s">
        <v>222</v>
      </c>
      <c r="I284" s="71" t="s">
        <v>222</v>
      </c>
      <c r="J284" s="71" t="s">
        <v>222</v>
      </c>
    </row>
    <row r="285" spans="1:10" ht="20.100000000000001" customHeight="1" x14ac:dyDescent="0.25">
      <c r="A285" s="124"/>
      <c r="B285" s="81" t="s">
        <v>1107</v>
      </c>
      <c r="C285" s="69" t="s">
        <v>603</v>
      </c>
      <c r="D285" s="69" t="s">
        <v>539</v>
      </c>
      <c r="E285" s="69" t="s">
        <v>222</v>
      </c>
      <c r="F285" s="69" t="s">
        <v>13</v>
      </c>
      <c r="G285" s="78" t="s">
        <v>590</v>
      </c>
      <c r="H285" s="70" t="s">
        <v>222</v>
      </c>
      <c r="I285" s="71" t="s">
        <v>222</v>
      </c>
      <c r="J285" s="71" t="s">
        <v>222</v>
      </c>
    </row>
    <row r="286" spans="1:10" ht="20.100000000000001" customHeight="1" x14ac:dyDescent="0.25">
      <c r="A286" s="131"/>
      <c r="B286" s="131"/>
      <c r="C286" s="131"/>
      <c r="D286" s="131"/>
      <c r="E286" s="131"/>
      <c r="F286" s="131"/>
      <c r="G286" s="131"/>
      <c r="H286" s="131"/>
      <c r="I286" s="131"/>
      <c r="J286" s="131"/>
    </row>
    <row r="287" spans="1:10" ht="60" customHeight="1" x14ac:dyDescent="0.25">
      <c r="A287" s="117" t="s">
        <v>1654</v>
      </c>
      <c r="B287" s="118"/>
      <c r="C287" s="118"/>
      <c r="D287" s="118"/>
      <c r="E287" s="118"/>
      <c r="F287" s="118"/>
      <c r="G287" s="118"/>
      <c r="H287" s="118"/>
      <c r="I287" s="118"/>
      <c r="J287" s="118"/>
    </row>
    <row r="288" spans="1:10" ht="30" customHeight="1" x14ac:dyDescent="0.25">
      <c r="A288" s="73"/>
      <c r="B288" s="39" t="s">
        <v>2</v>
      </c>
      <c r="C288" s="4" t="s">
        <v>48</v>
      </c>
      <c r="D288" s="4" t="s">
        <v>49</v>
      </c>
      <c r="E288" s="39" t="s">
        <v>9</v>
      </c>
      <c r="F288" s="39" t="s">
        <v>10</v>
      </c>
      <c r="G288" s="4" t="s">
        <v>11</v>
      </c>
      <c r="H288" s="4" t="s">
        <v>17</v>
      </c>
      <c r="I288" s="4" t="s">
        <v>12</v>
      </c>
      <c r="J288" s="4" t="s">
        <v>18</v>
      </c>
    </row>
    <row r="289" spans="1:10" ht="39.950000000000003" customHeight="1" x14ac:dyDescent="0.25">
      <c r="A289" s="124"/>
      <c r="B289" s="39" t="s">
        <v>617</v>
      </c>
      <c r="C289" s="73" t="s">
        <v>578</v>
      </c>
      <c r="D289" s="73" t="s">
        <v>57</v>
      </c>
      <c r="E289" s="73" t="s">
        <v>273</v>
      </c>
      <c r="F289" s="73" t="s">
        <v>13</v>
      </c>
      <c r="G289" s="15" t="s">
        <v>579</v>
      </c>
      <c r="H289" s="7">
        <v>79900</v>
      </c>
      <c r="I289" s="8">
        <v>0.2</v>
      </c>
      <c r="J289" s="9">
        <f>CEILING(H289*0.8,10)</f>
        <v>63920</v>
      </c>
    </row>
    <row r="290" spans="1:10" ht="39.950000000000003" customHeight="1" x14ac:dyDescent="0.25">
      <c r="A290" s="124"/>
      <c r="B290" s="39" t="s">
        <v>618</v>
      </c>
      <c r="C290" s="73" t="s">
        <v>68</v>
      </c>
      <c r="D290" s="73" t="s">
        <v>244</v>
      </c>
      <c r="E290" s="73" t="s">
        <v>273</v>
      </c>
      <c r="F290" s="73" t="s">
        <v>13</v>
      </c>
      <c r="G290" s="15" t="s">
        <v>579</v>
      </c>
      <c r="H290" s="7">
        <v>79900</v>
      </c>
      <c r="I290" s="8">
        <v>0.2</v>
      </c>
      <c r="J290" s="9">
        <f>CEILING(H290*0.8,10)</f>
        <v>63920</v>
      </c>
    </row>
    <row r="291" spans="1:10" ht="39.950000000000003" customHeight="1" x14ac:dyDescent="0.25">
      <c r="A291" s="124"/>
      <c r="B291" s="39" t="s">
        <v>619</v>
      </c>
      <c r="C291" s="73" t="s">
        <v>68</v>
      </c>
      <c r="D291" s="73" t="s">
        <v>244</v>
      </c>
      <c r="E291" s="73" t="s">
        <v>273</v>
      </c>
      <c r="F291" s="73" t="s">
        <v>13</v>
      </c>
      <c r="G291" s="15" t="s">
        <v>580</v>
      </c>
      <c r="H291" s="7">
        <v>89900</v>
      </c>
      <c r="I291" s="8">
        <v>0.2</v>
      </c>
      <c r="J291" s="9">
        <f>CEILING(H291*0.8,10)</f>
        <v>71920</v>
      </c>
    </row>
    <row r="292" spans="1:10" ht="20.100000000000001" customHeight="1" x14ac:dyDescent="0.25">
      <c r="A292" s="131"/>
      <c r="B292" s="131"/>
      <c r="C292" s="131"/>
      <c r="D292" s="131"/>
      <c r="E292" s="131"/>
      <c r="F292" s="131"/>
      <c r="G292" s="131"/>
      <c r="H292" s="131"/>
      <c r="I292" s="131"/>
      <c r="J292" s="131"/>
    </row>
    <row r="293" spans="1:10" ht="39.950000000000003" customHeight="1" x14ac:dyDescent="0.25">
      <c r="A293" s="117" t="s">
        <v>1655</v>
      </c>
      <c r="B293" s="118"/>
      <c r="C293" s="118"/>
      <c r="D293" s="118"/>
      <c r="E293" s="118"/>
      <c r="F293" s="118"/>
      <c r="G293" s="118"/>
      <c r="H293" s="118"/>
      <c r="I293" s="118"/>
      <c r="J293" s="118"/>
    </row>
    <row r="294" spans="1:10" ht="30" customHeight="1" x14ac:dyDescent="0.25">
      <c r="A294" s="73"/>
      <c r="B294" s="39" t="s">
        <v>2</v>
      </c>
      <c r="C294" s="4" t="s">
        <v>48</v>
      </c>
      <c r="D294" s="4" t="s">
        <v>49</v>
      </c>
      <c r="E294" s="39" t="s">
        <v>9</v>
      </c>
      <c r="F294" s="39" t="s">
        <v>10</v>
      </c>
      <c r="G294" s="4" t="s">
        <v>11</v>
      </c>
      <c r="H294" s="4" t="s">
        <v>17</v>
      </c>
      <c r="I294" s="4" t="s">
        <v>12</v>
      </c>
      <c r="J294" s="4" t="s">
        <v>18</v>
      </c>
    </row>
    <row r="295" spans="1:10" ht="24.95" customHeight="1" x14ac:dyDescent="0.25">
      <c r="A295" s="124"/>
      <c r="B295" s="85" t="s">
        <v>620</v>
      </c>
      <c r="C295" s="73" t="s">
        <v>184</v>
      </c>
      <c r="D295" s="73" t="s">
        <v>1066</v>
      </c>
      <c r="E295" s="73" t="s">
        <v>273</v>
      </c>
      <c r="F295" s="73" t="s">
        <v>13</v>
      </c>
      <c r="G295" s="15" t="s">
        <v>625</v>
      </c>
      <c r="H295" s="7">
        <v>15900</v>
      </c>
      <c r="I295" s="8">
        <v>0.2</v>
      </c>
      <c r="J295" s="9">
        <f>CEILING(H295*0.8,10)</f>
        <v>12720</v>
      </c>
    </row>
    <row r="296" spans="1:10" ht="24.95" customHeight="1" x14ac:dyDescent="0.25">
      <c r="A296" s="124"/>
      <c r="B296" s="85" t="s">
        <v>621</v>
      </c>
      <c r="C296" s="73" t="s">
        <v>72</v>
      </c>
      <c r="D296" s="73" t="s">
        <v>1067</v>
      </c>
      <c r="E296" s="73" t="s">
        <v>273</v>
      </c>
      <c r="F296" s="73" t="s">
        <v>13</v>
      </c>
      <c r="G296" s="15" t="s">
        <v>625</v>
      </c>
      <c r="H296" s="7">
        <v>14900</v>
      </c>
      <c r="I296" s="8">
        <v>0.2</v>
      </c>
      <c r="J296" s="9">
        <f>CEILING(H296*0.8,10)</f>
        <v>11920</v>
      </c>
    </row>
    <row r="297" spans="1:10" ht="24.95" customHeight="1" x14ac:dyDescent="0.25">
      <c r="A297" s="124"/>
      <c r="B297" s="85" t="s">
        <v>622</v>
      </c>
      <c r="C297" s="73" t="s">
        <v>72</v>
      </c>
      <c r="D297" s="73" t="s">
        <v>1067</v>
      </c>
      <c r="E297" s="73" t="s">
        <v>273</v>
      </c>
      <c r="F297" s="73" t="s">
        <v>13</v>
      </c>
      <c r="G297" s="15" t="s">
        <v>626</v>
      </c>
      <c r="H297" s="7">
        <v>18900</v>
      </c>
      <c r="I297" s="8">
        <v>0.2</v>
      </c>
      <c r="J297" s="9">
        <f>CEILING(H297*0.8,10)</f>
        <v>15120</v>
      </c>
    </row>
    <row r="298" spans="1:10" ht="24.95" customHeight="1" x14ac:dyDescent="0.25">
      <c r="A298" s="124"/>
      <c r="B298" s="85" t="s">
        <v>623</v>
      </c>
      <c r="C298" s="73" t="s">
        <v>589</v>
      </c>
      <c r="D298" s="73" t="s">
        <v>1068</v>
      </c>
      <c r="E298" s="73" t="s">
        <v>273</v>
      </c>
      <c r="F298" s="73" t="s">
        <v>13</v>
      </c>
      <c r="G298" s="15" t="s">
        <v>626</v>
      </c>
      <c r="H298" s="7">
        <v>18900</v>
      </c>
      <c r="I298" s="8">
        <v>0.2</v>
      </c>
      <c r="J298" s="9">
        <f>CEILING(H298*0.8,10)</f>
        <v>15120</v>
      </c>
    </row>
    <row r="299" spans="1:10" ht="24.95" customHeight="1" x14ac:dyDescent="0.25">
      <c r="A299" s="124"/>
      <c r="B299" s="85" t="s">
        <v>624</v>
      </c>
      <c r="C299" s="73" t="s">
        <v>628</v>
      </c>
      <c r="D299" s="73" t="s">
        <v>1069</v>
      </c>
      <c r="E299" s="73" t="s">
        <v>273</v>
      </c>
      <c r="F299" s="73" t="s">
        <v>13</v>
      </c>
      <c r="G299" s="15" t="s">
        <v>627</v>
      </c>
      <c r="H299" s="7">
        <v>41900</v>
      </c>
      <c r="I299" s="8">
        <v>0.2</v>
      </c>
      <c r="J299" s="9">
        <f>CEILING(H299*0.8,10)</f>
        <v>33520</v>
      </c>
    </row>
  </sheetData>
  <mergeCells count="91">
    <mergeCell ref="A32:J32"/>
    <mergeCell ref="A1:J1"/>
    <mergeCell ref="A3:A6"/>
    <mergeCell ref="A7:J7"/>
    <mergeCell ref="A8:J8"/>
    <mergeCell ref="A10:A14"/>
    <mergeCell ref="A15:J15"/>
    <mergeCell ref="A16:J16"/>
    <mergeCell ref="A18:A22"/>
    <mergeCell ref="A23:J23"/>
    <mergeCell ref="A24:J24"/>
    <mergeCell ref="A26:A31"/>
    <mergeCell ref="A58:J58"/>
    <mergeCell ref="A33:J33"/>
    <mergeCell ref="A35:A38"/>
    <mergeCell ref="A39:J39"/>
    <mergeCell ref="A40:J40"/>
    <mergeCell ref="A42:A46"/>
    <mergeCell ref="A47:J47"/>
    <mergeCell ref="A48:J48"/>
    <mergeCell ref="A50:A57"/>
    <mergeCell ref="A97:J97"/>
    <mergeCell ref="A59:J59"/>
    <mergeCell ref="A66:J66"/>
    <mergeCell ref="A67:J67"/>
    <mergeCell ref="A69:A76"/>
    <mergeCell ref="A77:J77"/>
    <mergeCell ref="A78:J78"/>
    <mergeCell ref="A80:A85"/>
    <mergeCell ref="A86:J86"/>
    <mergeCell ref="A87:J87"/>
    <mergeCell ref="A89:A96"/>
    <mergeCell ref="A61:A65"/>
    <mergeCell ref="A152:J152"/>
    <mergeCell ref="A98:J98"/>
    <mergeCell ref="A100:A105"/>
    <mergeCell ref="A106:J106"/>
    <mergeCell ref="A107:J107"/>
    <mergeCell ref="A109:A118"/>
    <mergeCell ref="A119:J119"/>
    <mergeCell ref="A120:J120"/>
    <mergeCell ref="A122:A134"/>
    <mergeCell ref="A135:J135"/>
    <mergeCell ref="A136:J136"/>
    <mergeCell ref="A138:A151"/>
    <mergeCell ref="A205:J205"/>
    <mergeCell ref="A153:J153"/>
    <mergeCell ref="A155:A170"/>
    <mergeCell ref="A171:J171"/>
    <mergeCell ref="A172:J172"/>
    <mergeCell ref="A174:A185"/>
    <mergeCell ref="A186:J186"/>
    <mergeCell ref="A187:J187"/>
    <mergeCell ref="A189:A195"/>
    <mergeCell ref="A196:J196"/>
    <mergeCell ref="A197:J197"/>
    <mergeCell ref="A199:A204"/>
    <mergeCell ref="A230:J230"/>
    <mergeCell ref="A206:J206"/>
    <mergeCell ref="A208:A209"/>
    <mergeCell ref="A210:J210"/>
    <mergeCell ref="A211:J211"/>
    <mergeCell ref="A214:J214"/>
    <mergeCell ref="A215:J215"/>
    <mergeCell ref="A217:A220"/>
    <mergeCell ref="A221:J221"/>
    <mergeCell ref="A222:J222"/>
    <mergeCell ref="A224:A228"/>
    <mergeCell ref="A229:J229"/>
    <mergeCell ref="A269:J269"/>
    <mergeCell ref="A232:A240"/>
    <mergeCell ref="A241:J241"/>
    <mergeCell ref="A242:J242"/>
    <mergeCell ref="A244:A246"/>
    <mergeCell ref="A247:J247"/>
    <mergeCell ref="A248:J248"/>
    <mergeCell ref="A250:A257"/>
    <mergeCell ref="A258:J258"/>
    <mergeCell ref="A259:J259"/>
    <mergeCell ref="A261:A267"/>
    <mergeCell ref="A268:J268"/>
    <mergeCell ref="A289:A291"/>
    <mergeCell ref="A292:J292"/>
    <mergeCell ref="A293:J293"/>
    <mergeCell ref="A295:A299"/>
    <mergeCell ref="A271:A276"/>
    <mergeCell ref="A277:J277"/>
    <mergeCell ref="A278:J278"/>
    <mergeCell ref="A280:A285"/>
    <mergeCell ref="A286:J286"/>
    <mergeCell ref="A287:J287"/>
  </mergeCells>
  <hyperlinks>
    <hyperlink ref="B6" r:id="rId1"/>
    <hyperlink ref="B5" r:id="rId2"/>
    <hyperlink ref="B4" r:id="rId3"/>
    <hyperlink ref="B3" r:id="rId4"/>
    <hyperlink ref="B69" r:id="rId5"/>
    <hyperlink ref="B70" r:id="rId6"/>
    <hyperlink ref="B71" r:id="rId7"/>
    <hyperlink ref="B73" r:id="rId8"/>
    <hyperlink ref="B72" r:id="rId9"/>
    <hyperlink ref="B76" r:id="rId10"/>
    <hyperlink ref="B74" r:id="rId11"/>
    <hyperlink ref="B75" r:id="rId12"/>
    <hyperlink ref="B90" r:id="rId13"/>
    <hyperlink ref="B89" r:id="rId14"/>
    <hyperlink ref="B91" r:id="rId15"/>
    <hyperlink ref="B93" r:id="rId16"/>
    <hyperlink ref="B94" r:id="rId17"/>
    <hyperlink ref="B109" r:id="rId18"/>
    <hyperlink ref="B110" r:id="rId19"/>
    <hyperlink ref="B111" r:id="rId20"/>
    <hyperlink ref="B112" r:id="rId21"/>
    <hyperlink ref="B113" r:id="rId22"/>
    <hyperlink ref="B114" r:id="rId23"/>
    <hyperlink ref="B115" r:id="rId24"/>
    <hyperlink ref="B117" r:id="rId25"/>
    <hyperlink ref="B116" r:id="rId26"/>
    <hyperlink ref="B118" r:id="rId27"/>
    <hyperlink ref="B122" r:id="rId28"/>
    <hyperlink ref="B123" r:id="rId29"/>
    <hyperlink ref="B124" r:id="rId30"/>
    <hyperlink ref="B125" r:id="rId31"/>
    <hyperlink ref="B126" r:id="rId32"/>
    <hyperlink ref="B127" r:id="rId33"/>
    <hyperlink ref="B128" r:id="rId34"/>
    <hyperlink ref="B129" r:id="rId35"/>
    <hyperlink ref="B130" r:id="rId36"/>
    <hyperlink ref="B131" r:id="rId37"/>
    <hyperlink ref="B133" r:id="rId38"/>
    <hyperlink ref="B132" r:id="rId39"/>
    <hyperlink ref="B134" r:id="rId40"/>
    <hyperlink ref="B295" r:id="rId41"/>
    <hyperlink ref="B296" r:id="rId42"/>
    <hyperlink ref="B297" r:id="rId43"/>
    <hyperlink ref="B298" r:id="rId44"/>
    <hyperlink ref="B299" r:id="rId45"/>
    <hyperlink ref="B189" r:id="rId46"/>
    <hyperlink ref="B190" r:id="rId47"/>
    <hyperlink ref="B191" r:id="rId48"/>
    <hyperlink ref="B193" r:id="rId49"/>
    <hyperlink ref="B192" r:id="rId50"/>
    <hyperlink ref="B194" r:id="rId51"/>
    <hyperlink ref="B195" r:id="rId52"/>
    <hyperlink ref="B225" r:id="rId53"/>
    <hyperlink ref="B226" r:id="rId54"/>
    <hyperlink ref="B227" r:id="rId55"/>
    <hyperlink ref="B228" r:id="rId56"/>
    <hyperlink ref="B208" r:id="rId57"/>
    <hyperlink ref="B209" r:id="rId58"/>
    <hyperlink ref="B217" r:id="rId59"/>
    <hyperlink ref="B218" r:id="rId60"/>
    <hyperlink ref="B219" r:id="rId61"/>
    <hyperlink ref="B220" r:id="rId62"/>
    <hyperlink ref="B62" r:id="rId63"/>
    <hyperlink ref="B63" r:id="rId64"/>
    <hyperlink ref="B61" r:id="rId65"/>
    <hyperlink ref="B64" r:id="rId66"/>
    <hyperlink ref="B80" r:id="rId67"/>
    <hyperlink ref="B81" r:id="rId68"/>
    <hyperlink ref="B82" r:id="rId69"/>
    <hyperlink ref="B83" r:id="rId70"/>
    <hyperlink ref="B84" r:id="rId71"/>
    <hyperlink ref="B85" r:id="rId72"/>
    <hyperlink ref="B100" r:id="rId73"/>
    <hyperlink ref="B101" r:id="rId74"/>
    <hyperlink ref="B102" r:id="rId75"/>
    <hyperlink ref="B103" r:id="rId76"/>
    <hyperlink ref="B104" r:id="rId77"/>
    <hyperlink ref="B105" r:id="rId78"/>
    <hyperlink ref="B174" r:id="rId79"/>
    <hyperlink ref="B175" r:id="rId80"/>
    <hyperlink ref="B176" r:id="rId81"/>
    <hyperlink ref="B177" r:id="rId82"/>
    <hyperlink ref="B178" r:id="rId83"/>
    <hyperlink ref="B179" r:id="rId84"/>
    <hyperlink ref="B180" r:id="rId85"/>
    <hyperlink ref="B181" r:id="rId86"/>
    <hyperlink ref="B182" r:id="rId87"/>
    <hyperlink ref="B183" r:id="rId88"/>
    <hyperlink ref="B184" r:id="rId89"/>
    <hyperlink ref="B185" r:id="rId90"/>
    <hyperlink ref="B200" r:id="rId91"/>
    <hyperlink ref="B199" r:id="rId92"/>
    <hyperlink ref="B201" r:id="rId93"/>
    <hyperlink ref="B202" r:id="rId94"/>
    <hyperlink ref="B203" r:id="rId95"/>
    <hyperlink ref="B204" r:id="rId96"/>
    <hyperlink ref="B213" r:id="rId97"/>
    <hyperlink ref="B244" r:id="rId98"/>
    <hyperlink ref="B245" r:id="rId99"/>
    <hyperlink ref="B246" r:id="rId100"/>
    <hyperlink ref="B250" r:id="rId101"/>
    <hyperlink ref="B251" r:id="rId102"/>
    <hyperlink ref="B252" r:id="rId103"/>
    <hyperlink ref="B253" r:id="rId104"/>
    <hyperlink ref="B254" r:id="rId105"/>
    <hyperlink ref="B255" r:id="rId106"/>
    <hyperlink ref="B256" r:id="rId107"/>
    <hyperlink ref="B257" r:id="rId108"/>
    <hyperlink ref="B261" r:id="rId109"/>
    <hyperlink ref="B262" r:id="rId110"/>
    <hyperlink ref="B263" r:id="rId111"/>
    <hyperlink ref="B264" r:id="rId112"/>
    <hyperlink ref="B265" r:id="rId113"/>
    <hyperlink ref="B266" r:id="rId114"/>
    <hyperlink ref="B267" r:id="rId115"/>
    <hyperlink ref="B271" r:id="rId116"/>
    <hyperlink ref="B272" r:id="rId117"/>
    <hyperlink ref="B273" r:id="rId118"/>
    <hyperlink ref="B274" r:id="rId119"/>
    <hyperlink ref="B275" r:id="rId120"/>
    <hyperlink ref="B276" r:id="rId121"/>
    <hyperlink ref="B10" r:id="rId122"/>
    <hyperlink ref="B11" r:id="rId123"/>
    <hyperlink ref="B12" r:id="rId124"/>
    <hyperlink ref="B13" r:id="rId125"/>
    <hyperlink ref="B14" r:id="rId126"/>
    <hyperlink ref="B26" r:id="rId127" display="BM-20"/>
    <hyperlink ref="B27" r:id="rId128" display="BM-22"/>
    <hyperlink ref="B28" r:id="rId129" display="BM-252"/>
    <hyperlink ref="B29" r:id="rId130" display="BM-200"/>
    <hyperlink ref="B30" r:id="rId131" display="BM-300"/>
    <hyperlink ref="B31" r:id="rId132" display="BM-500"/>
    <hyperlink ref="B38" r:id="rId133"/>
    <hyperlink ref="B35" r:id="rId134"/>
    <hyperlink ref="B36" r:id="rId135"/>
    <hyperlink ref="B37" r:id="rId136"/>
    <hyperlink ref="B45" r:id="rId137"/>
    <hyperlink ref="B46" r:id="rId138"/>
    <hyperlink ref="B42" r:id="rId139"/>
    <hyperlink ref="B43" r:id="rId140"/>
    <hyperlink ref="B44" r:id="rId141"/>
    <hyperlink ref="B50" r:id="rId142"/>
    <hyperlink ref="B51" r:id="rId143"/>
    <hyperlink ref="B53" r:id="rId144"/>
    <hyperlink ref="B52" r:id="rId145"/>
    <hyperlink ref="B54" r:id="rId146"/>
    <hyperlink ref="B55" r:id="rId147"/>
    <hyperlink ref="B57" r:id="rId148"/>
    <hyperlink ref="B56" r:id="rId149"/>
    <hyperlink ref="B138" r:id="rId150"/>
    <hyperlink ref="B139" r:id="rId151"/>
    <hyperlink ref="B142" r:id="rId152"/>
    <hyperlink ref="B143" r:id="rId153"/>
    <hyperlink ref="B140" r:id="rId154"/>
    <hyperlink ref="B141" r:id="rId155"/>
    <hyperlink ref="B144" r:id="rId156"/>
    <hyperlink ref="B145" r:id="rId157"/>
    <hyperlink ref="B146" r:id="rId158" display="GP-60KS "/>
    <hyperlink ref="B147" r:id="rId159"/>
    <hyperlink ref="B148" r:id="rId160"/>
    <hyperlink ref="B149" r:id="rId161"/>
    <hyperlink ref="B150" r:id="rId162"/>
    <hyperlink ref="B151" r:id="rId163"/>
    <hyperlink ref="B155" r:id="rId164"/>
    <hyperlink ref="B156" r:id="rId165"/>
    <hyperlink ref="B157" r:id="rId166"/>
    <hyperlink ref="B158" r:id="rId167"/>
    <hyperlink ref="B160" r:id="rId168"/>
    <hyperlink ref="B159" r:id="rId169"/>
    <hyperlink ref="B161" r:id="rId170"/>
    <hyperlink ref="B162" r:id="rId171"/>
    <hyperlink ref="B163" r:id="rId172"/>
    <hyperlink ref="B164" r:id="rId173"/>
    <hyperlink ref="B166" r:id="rId174"/>
    <hyperlink ref="B165" r:id="rId175"/>
    <hyperlink ref="B167" r:id="rId176"/>
    <hyperlink ref="B95" r:id="rId177"/>
    <hyperlink ref="B92" r:id="rId178"/>
    <hyperlink ref="B96" r:id="rId179"/>
  </hyperlinks>
  <pageMargins left="0.7" right="0.7" top="0.75" bottom="0.75" header="0.3" footer="0.3"/>
  <pageSetup paperSize="9" orientation="portrait" r:id="rId180"/>
  <drawing r:id="rId181"/>
  <legacyDrawing r:id="rId18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opLeftCell="A7" zoomScale="90" zoomScaleNormal="90" workbookViewId="0">
      <selection activeCell="B61" sqref="B61"/>
    </sheetView>
  </sheetViews>
  <sheetFormatPr defaultRowHeight="13.5" x14ac:dyDescent="0.25"/>
  <cols>
    <col min="1" max="1" width="23.28515625" style="1" customWidth="1"/>
    <col min="2" max="2" width="15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83" customWidth="1"/>
    <col min="11" max="16384" width="9.140625" style="1"/>
  </cols>
  <sheetData>
    <row r="1" spans="1:10" ht="39.950000000000003" customHeight="1" x14ac:dyDescent="0.25">
      <c r="A1" s="129" t="s">
        <v>1909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ht="30" x14ac:dyDescent="0.25">
      <c r="A2" s="73"/>
      <c r="B2" s="39" t="s">
        <v>2</v>
      </c>
      <c r="C2" s="4" t="s">
        <v>48</v>
      </c>
      <c r="D2" s="4" t="s">
        <v>1658</v>
      </c>
      <c r="E2" s="39" t="s">
        <v>9</v>
      </c>
      <c r="F2" s="39" t="s">
        <v>10</v>
      </c>
      <c r="G2" s="4" t="s">
        <v>11</v>
      </c>
      <c r="H2" s="82" t="s">
        <v>17</v>
      </c>
      <c r="I2" s="82" t="s">
        <v>12</v>
      </c>
      <c r="J2" s="82" t="s">
        <v>18</v>
      </c>
    </row>
    <row r="3" spans="1:10" ht="120" customHeight="1" x14ac:dyDescent="0.25">
      <c r="A3" s="73"/>
      <c r="B3" s="74" t="s">
        <v>1656</v>
      </c>
      <c r="C3" s="73" t="s">
        <v>50</v>
      </c>
      <c r="D3" s="73" t="s">
        <v>1657</v>
      </c>
      <c r="E3" s="73" t="s">
        <v>1058</v>
      </c>
      <c r="F3" s="73" t="s">
        <v>13</v>
      </c>
      <c r="G3" s="73" t="s">
        <v>1659</v>
      </c>
      <c r="H3" s="25">
        <v>119990</v>
      </c>
      <c r="I3" s="62">
        <v>0.2</v>
      </c>
      <c r="J3" s="25">
        <f>CEILING(H3*0.8,10)</f>
        <v>96000</v>
      </c>
    </row>
    <row r="4" spans="1:10" ht="20.100000000000001" customHeight="1" x14ac:dyDescent="0.25">
      <c r="A4" s="139" t="s">
        <v>74</v>
      </c>
      <c r="B4" s="139"/>
      <c r="C4" s="139"/>
      <c r="D4" s="139"/>
      <c r="E4" s="139"/>
      <c r="F4" s="139"/>
      <c r="G4" s="139"/>
      <c r="H4" s="139"/>
      <c r="I4" s="139"/>
      <c r="J4" s="139"/>
    </row>
    <row r="5" spans="1:10" ht="20.100000000000001" customHeight="1" x14ac:dyDescent="0.25">
      <c r="A5" s="138" t="s">
        <v>1796</v>
      </c>
      <c r="B5" s="138"/>
      <c r="C5" s="138"/>
      <c r="D5" s="138"/>
      <c r="E5" s="138"/>
      <c r="F5" s="138"/>
      <c r="G5" s="138"/>
      <c r="H5" s="63">
        <v>39990</v>
      </c>
      <c r="I5" s="62">
        <v>0</v>
      </c>
      <c r="J5" s="25">
        <f>H5</f>
        <v>39990</v>
      </c>
    </row>
    <row r="6" spans="1:10" ht="19.5" customHeight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1"/>
    </row>
    <row r="7" spans="1:10" ht="39.950000000000003" customHeight="1" x14ac:dyDescent="0.25">
      <c r="A7" s="129" t="s">
        <v>1910</v>
      </c>
      <c r="B7" s="130"/>
      <c r="C7" s="130"/>
      <c r="D7" s="130"/>
      <c r="E7" s="130"/>
      <c r="F7" s="130"/>
      <c r="G7" s="130"/>
      <c r="H7" s="130"/>
      <c r="I7" s="130"/>
      <c r="J7" s="130"/>
    </row>
    <row r="8" spans="1:10" ht="30" x14ac:dyDescent="0.25">
      <c r="A8" s="107"/>
      <c r="B8" s="76" t="s">
        <v>2</v>
      </c>
      <c r="C8" s="4" t="s">
        <v>48</v>
      </c>
      <c r="D8" s="4" t="s">
        <v>49</v>
      </c>
      <c r="E8" s="39" t="s">
        <v>9</v>
      </c>
      <c r="F8" s="39" t="s">
        <v>10</v>
      </c>
      <c r="G8" s="4" t="s">
        <v>11</v>
      </c>
      <c r="H8" s="82" t="s">
        <v>17</v>
      </c>
      <c r="I8" s="82" t="s">
        <v>12</v>
      </c>
      <c r="J8" s="82" t="s">
        <v>18</v>
      </c>
    </row>
    <row r="9" spans="1:10" ht="27" customHeight="1" x14ac:dyDescent="0.25">
      <c r="A9" s="151"/>
      <c r="B9" s="75" t="s">
        <v>1900</v>
      </c>
      <c r="C9" s="106" t="s">
        <v>1112</v>
      </c>
      <c r="D9" s="106" t="s">
        <v>77</v>
      </c>
      <c r="E9" s="106" t="s">
        <v>1038</v>
      </c>
      <c r="F9" s="33" t="s">
        <v>1801</v>
      </c>
      <c r="G9" s="106" t="s">
        <v>285</v>
      </c>
      <c r="H9" s="63">
        <v>249990</v>
      </c>
      <c r="I9" s="62">
        <v>0.2</v>
      </c>
      <c r="J9" s="63">
        <f>CEILING(H9*0.8,10)</f>
        <v>200000</v>
      </c>
    </row>
    <row r="10" spans="1:10" ht="27" customHeight="1" x14ac:dyDescent="0.25">
      <c r="A10" s="152"/>
      <c r="B10" s="75" t="s">
        <v>1901</v>
      </c>
      <c r="C10" s="106" t="s">
        <v>1905</v>
      </c>
      <c r="D10" s="106" t="s">
        <v>397</v>
      </c>
      <c r="E10" s="106" t="s">
        <v>1038</v>
      </c>
      <c r="F10" s="33" t="s">
        <v>1801</v>
      </c>
      <c r="G10" s="106" t="s">
        <v>285</v>
      </c>
      <c r="H10" s="63">
        <v>274990</v>
      </c>
      <c r="I10" s="62">
        <v>0.2</v>
      </c>
      <c r="J10" s="63">
        <f>CEILING(H10*0.8,10)</f>
        <v>220000</v>
      </c>
    </row>
    <row r="11" spans="1:10" ht="27" customHeight="1" x14ac:dyDescent="0.25">
      <c r="A11" s="152"/>
      <c r="B11" s="75" t="s">
        <v>1902</v>
      </c>
      <c r="C11" s="106" t="s">
        <v>1906</v>
      </c>
      <c r="D11" s="106" t="s">
        <v>77</v>
      </c>
      <c r="E11" s="106" t="s">
        <v>1038</v>
      </c>
      <c r="F11" s="33" t="s">
        <v>1801</v>
      </c>
      <c r="G11" s="106" t="s">
        <v>285</v>
      </c>
      <c r="H11" s="63">
        <v>274990</v>
      </c>
      <c r="I11" s="62">
        <v>0.2</v>
      </c>
      <c r="J11" s="63">
        <f>CEILING(H11*0.8,10)</f>
        <v>220000</v>
      </c>
    </row>
    <row r="12" spans="1:10" ht="27" customHeight="1" x14ac:dyDescent="0.25">
      <c r="A12" s="152"/>
      <c r="B12" s="75" t="s">
        <v>1903</v>
      </c>
      <c r="C12" s="106" t="s">
        <v>52</v>
      </c>
      <c r="D12" s="106" t="s">
        <v>397</v>
      </c>
      <c r="E12" s="106" t="s">
        <v>1038</v>
      </c>
      <c r="F12" s="33" t="s">
        <v>1801</v>
      </c>
      <c r="G12" s="106" t="s">
        <v>285</v>
      </c>
      <c r="H12" s="63">
        <v>419990</v>
      </c>
      <c r="I12" s="62">
        <v>0.1</v>
      </c>
      <c r="J12" s="63">
        <f>CEILING(H12*0.9,10)</f>
        <v>378000</v>
      </c>
    </row>
    <row r="13" spans="1:10" ht="27" customHeight="1" x14ac:dyDescent="0.25">
      <c r="A13" s="152"/>
      <c r="B13" s="108" t="s">
        <v>1904</v>
      </c>
      <c r="C13" s="106" t="s">
        <v>52</v>
      </c>
      <c r="D13" s="106" t="s">
        <v>397</v>
      </c>
      <c r="E13" s="106" t="s">
        <v>1038</v>
      </c>
      <c r="F13" s="33" t="s">
        <v>1801</v>
      </c>
      <c r="G13" s="106" t="s">
        <v>285</v>
      </c>
      <c r="H13" s="63">
        <v>499990</v>
      </c>
      <c r="I13" s="62">
        <v>0.1</v>
      </c>
      <c r="J13" s="63">
        <f>CEILING(H13*0.9,10)</f>
        <v>450000</v>
      </c>
    </row>
    <row r="14" spans="1:10" ht="20.100000000000001" customHeight="1" x14ac:dyDescent="0.25">
      <c r="A14" s="139" t="s">
        <v>74</v>
      </c>
      <c r="B14" s="139"/>
      <c r="C14" s="139"/>
      <c r="D14" s="139"/>
      <c r="E14" s="139"/>
      <c r="F14" s="139"/>
      <c r="G14" s="139"/>
      <c r="H14" s="139"/>
      <c r="I14" s="139"/>
      <c r="J14" s="139"/>
    </row>
    <row r="15" spans="1:10" ht="20.100000000000001" customHeight="1" x14ac:dyDescent="0.25">
      <c r="A15" s="138" t="s">
        <v>1897</v>
      </c>
      <c r="B15" s="138"/>
      <c r="C15" s="138"/>
      <c r="D15" s="138"/>
      <c r="E15" s="138"/>
      <c r="F15" s="138"/>
      <c r="G15" s="138"/>
      <c r="H15" s="63">
        <v>39990</v>
      </c>
      <c r="I15" s="62">
        <v>0</v>
      </c>
      <c r="J15" s="25">
        <f t="shared" ref="J15:J21" si="0">H15</f>
        <v>39990</v>
      </c>
    </row>
    <row r="16" spans="1:10" ht="20.100000000000001" customHeight="1" x14ac:dyDescent="0.25">
      <c r="A16" s="138" t="s">
        <v>1019</v>
      </c>
      <c r="B16" s="138"/>
      <c r="C16" s="138"/>
      <c r="D16" s="138"/>
      <c r="E16" s="138"/>
      <c r="F16" s="138"/>
      <c r="G16" s="138"/>
      <c r="H16" s="25">
        <v>12490</v>
      </c>
      <c r="I16" s="62">
        <v>0</v>
      </c>
      <c r="J16" s="25">
        <f t="shared" si="0"/>
        <v>12490</v>
      </c>
    </row>
    <row r="17" spans="1:10" ht="20.100000000000001" customHeight="1" x14ac:dyDescent="0.25">
      <c r="A17" s="138" t="s">
        <v>1796</v>
      </c>
      <c r="B17" s="138"/>
      <c r="C17" s="138"/>
      <c r="D17" s="138"/>
      <c r="E17" s="138"/>
      <c r="F17" s="138"/>
      <c r="G17" s="138"/>
      <c r="H17" s="63">
        <v>39990</v>
      </c>
      <c r="I17" s="62">
        <v>0</v>
      </c>
      <c r="J17" s="25">
        <f t="shared" si="0"/>
        <v>39990</v>
      </c>
    </row>
    <row r="18" spans="1:10" ht="20.100000000000001" customHeight="1" x14ac:dyDescent="0.25">
      <c r="A18" s="138" t="s">
        <v>1661</v>
      </c>
      <c r="B18" s="138"/>
      <c r="C18" s="138"/>
      <c r="D18" s="138"/>
      <c r="E18" s="138"/>
      <c r="F18" s="138"/>
      <c r="G18" s="138"/>
      <c r="H18" s="63">
        <v>29990</v>
      </c>
      <c r="I18" s="62">
        <v>0</v>
      </c>
      <c r="J18" s="25">
        <f t="shared" si="0"/>
        <v>29990</v>
      </c>
    </row>
    <row r="19" spans="1:10" ht="20.100000000000001" customHeight="1" x14ac:dyDescent="0.25">
      <c r="A19" s="138" t="s">
        <v>1907</v>
      </c>
      <c r="B19" s="138"/>
      <c r="C19" s="138"/>
      <c r="D19" s="138"/>
      <c r="E19" s="138"/>
      <c r="F19" s="138"/>
      <c r="G19" s="138"/>
      <c r="H19" s="63">
        <v>4790</v>
      </c>
      <c r="I19" s="62">
        <v>0</v>
      </c>
      <c r="J19" s="25">
        <f t="shared" si="0"/>
        <v>4790</v>
      </c>
    </row>
    <row r="20" spans="1:10" ht="20.100000000000001" customHeight="1" x14ac:dyDescent="0.25">
      <c r="A20" s="138" t="s">
        <v>1908</v>
      </c>
      <c r="B20" s="138"/>
      <c r="C20" s="138"/>
      <c r="D20" s="138"/>
      <c r="E20" s="138"/>
      <c r="F20" s="138"/>
      <c r="G20" s="138"/>
      <c r="H20" s="63" t="s">
        <v>931</v>
      </c>
      <c r="I20" s="62">
        <v>0</v>
      </c>
      <c r="J20" s="25" t="str">
        <f t="shared" si="0"/>
        <v>по запросу</v>
      </c>
    </row>
    <row r="21" spans="1:10" ht="20.100000000000001" customHeight="1" x14ac:dyDescent="0.25">
      <c r="A21" s="138" t="s">
        <v>1664</v>
      </c>
      <c r="B21" s="138"/>
      <c r="C21" s="138"/>
      <c r="D21" s="138"/>
      <c r="E21" s="138"/>
      <c r="F21" s="138"/>
      <c r="G21" s="138"/>
      <c r="H21" s="63">
        <v>79990</v>
      </c>
      <c r="I21" s="62">
        <v>0</v>
      </c>
      <c r="J21" s="25">
        <f t="shared" si="0"/>
        <v>79990</v>
      </c>
    </row>
    <row r="22" spans="1:10" ht="19.5" customHeight="1" x14ac:dyDescent="0.25">
      <c r="A22" s="131"/>
      <c r="B22" s="131"/>
      <c r="C22" s="131"/>
      <c r="D22" s="131"/>
      <c r="E22" s="131"/>
      <c r="F22" s="131"/>
      <c r="G22" s="131"/>
      <c r="H22" s="131"/>
      <c r="I22" s="131"/>
      <c r="J22" s="131"/>
    </row>
    <row r="23" spans="1:10" ht="39.950000000000003" customHeight="1" x14ac:dyDescent="0.25">
      <c r="A23" s="129" t="s">
        <v>1912</v>
      </c>
      <c r="B23" s="130"/>
      <c r="C23" s="130"/>
      <c r="D23" s="130"/>
      <c r="E23" s="130"/>
      <c r="F23" s="130"/>
      <c r="G23" s="130"/>
      <c r="H23" s="130"/>
      <c r="I23" s="130"/>
      <c r="J23" s="130"/>
    </row>
    <row r="24" spans="1:10" ht="30" x14ac:dyDescent="0.25">
      <c r="A24" s="73"/>
      <c r="B24" s="39" t="s">
        <v>2</v>
      </c>
      <c r="C24" s="4" t="s">
        <v>48</v>
      </c>
      <c r="D24" s="39" t="s">
        <v>49</v>
      </c>
      <c r="E24" s="39" t="s">
        <v>9</v>
      </c>
      <c r="F24" s="39" t="s">
        <v>10</v>
      </c>
      <c r="G24" s="4" t="s">
        <v>11</v>
      </c>
      <c r="H24" s="82" t="s">
        <v>17</v>
      </c>
      <c r="I24" s="82" t="s">
        <v>12</v>
      </c>
      <c r="J24" s="82" t="s">
        <v>18</v>
      </c>
    </row>
    <row r="25" spans="1:10" ht="60" customHeight="1" x14ac:dyDescent="0.25">
      <c r="A25" s="124"/>
      <c r="B25" s="75" t="s">
        <v>1007</v>
      </c>
      <c r="C25" s="73" t="s">
        <v>681</v>
      </c>
      <c r="D25" s="73" t="s">
        <v>77</v>
      </c>
      <c r="E25" s="73" t="s">
        <v>1038</v>
      </c>
      <c r="F25" s="73" t="s">
        <v>15</v>
      </c>
      <c r="G25" s="73" t="s">
        <v>78</v>
      </c>
      <c r="H25" s="63">
        <v>179990</v>
      </c>
      <c r="I25" s="62">
        <v>0.2</v>
      </c>
      <c r="J25" s="63">
        <f>CEILING(H25*0.8,10)</f>
        <v>144000</v>
      </c>
    </row>
    <row r="26" spans="1:10" ht="60" customHeight="1" x14ac:dyDescent="0.25">
      <c r="A26" s="124"/>
      <c r="B26" s="75" t="s">
        <v>1008</v>
      </c>
      <c r="C26" s="73" t="s">
        <v>682</v>
      </c>
      <c r="D26" s="73" t="s">
        <v>77</v>
      </c>
      <c r="E26" s="73" t="s">
        <v>1038</v>
      </c>
      <c r="F26" s="73" t="s">
        <v>15</v>
      </c>
      <c r="G26" s="73" t="s">
        <v>78</v>
      </c>
      <c r="H26" s="63">
        <v>199990</v>
      </c>
      <c r="I26" s="62">
        <v>0.2</v>
      </c>
      <c r="J26" s="63">
        <f>CEILING(H26*0.8,10)</f>
        <v>160000</v>
      </c>
    </row>
    <row r="27" spans="1:10" ht="20.100000000000001" customHeight="1" x14ac:dyDescent="0.25">
      <c r="A27" s="139" t="s">
        <v>74</v>
      </c>
      <c r="B27" s="139"/>
      <c r="C27" s="139"/>
      <c r="D27" s="139"/>
      <c r="E27" s="139"/>
      <c r="F27" s="139"/>
      <c r="G27" s="139"/>
      <c r="H27" s="139"/>
      <c r="I27" s="139"/>
      <c r="J27" s="139"/>
    </row>
    <row r="28" spans="1:10" ht="20.100000000000001" customHeight="1" x14ac:dyDescent="0.25">
      <c r="A28" s="138" t="s">
        <v>1660</v>
      </c>
      <c r="B28" s="138"/>
      <c r="C28" s="138"/>
      <c r="D28" s="138"/>
      <c r="E28" s="138"/>
      <c r="F28" s="138"/>
      <c r="G28" s="138"/>
      <c r="H28" s="63">
        <v>39990</v>
      </c>
      <c r="I28" s="62">
        <v>0</v>
      </c>
      <c r="J28" s="25">
        <f t="shared" ref="J28:J34" si="1">H28</f>
        <v>39990</v>
      </c>
    </row>
    <row r="29" spans="1:10" ht="20.100000000000001" customHeight="1" x14ac:dyDescent="0.25">
      <c r="A29" s="138" t="s">
        <v>1019</v>
      </c>
      <c r="B29" s="138"/>
      <c r="C29" s="138"/>
      <c r="D29" s="138"/>
      <c r="E29" s="138"/>
      <c r="F29" s="138"/>
      <c r="G29" s="138"/>
      <c r="H29" s="25">
        <v>12490</v>
      </c>
      <c r="I29" s="62">
        <v>0</v>
      </c>
      <c r="J29" s="25">
        <f t="shared" si="1"/>
        <v>12490</v>
      </c>
    </row>
    <row r="30" spans="1:10" ht="20.100000000000001" customHeight="1" x14ac:dyDescent="0.25">
      <c r="A30" s="138" t="s">
        <v>1796</v>
      </c>
      <c r="B30" s="138"/>
      <c r="C30" s="138"/>
      <c r="D30" s="138"/>
      <c r="E30" s="138"/>
      <c r="F30" s="138"/>
      <c r="G30" s="138"/>
      <c r="H30" s="63">
        <v>39990</v>
      </c>
      <c r="I30" s="62">
        <v>0</v>
      </c>
      <c r="J30" s="25">
        <f t="shared" si="1"/>
        <v>39990</v>
      </c>
    </row>
    <row r="31" spans="1:10" ht="20.100000000000001" customHeight="1" x14ac:dyDescent="0.25">
      <c r="A31" s="138" t="s">
        <v>1661</v>
      </c>
      <c r="B31" s="138"/>
      <c r="C31" s="138"/>
      <c r="D31" s="138"/>
      <c r="E31" s="138"/>
      <c r="F31" s="138"/>
      <c r="G31" s="138"/>
      <c r="H31" s="63">
        <v>29990</v>
      </c>
      <c r="I31" s="62">
        <v>0</v>
      </c>
      <c r="J31" s="25">
        <f t="shared" si="1"/>
        <v>29990</v>
      </c>
    </row>
    <row r="32" spans="1:10" ht="20.100000000000001" customHeight="1" x14ac:dyDescent="0.25">
      <c r="A32" s="138" t="s">
        <v>1662</v>
      </c>
      <c r="B32" s="138"/>
      <c r="C32" s="138"/>
      <c r="D32" s="138"/>
      <c r="E32" s="138"/>
      <c r="F32" s="138"/>
      <c r="G32" s="138"/>
      <c r="H32" s="63">
        <v>29990</v>
      </c>
      <c r="I32" s="62">
        <v>0</v>
      </c>
      <c r="J32" s="25">
        <f t="shared" si="1"/>
        <v>29990</v>
      </c>
    </row>
    <row r="33" spans="1:10" ht="20.100000000000001" customHeight="1" x14ac:dyDescent="0.25">
      <c r="A33" s="138" t="s">
        <v>1663</v>
      </c>
      <c r="B33" s="138"/>
      <c r="C33" s="138"/>
      <c r="D33" s="138"/>
      <c r="E33" s="138"/>
      <c r="F33" s="138"/>
      <c r="G33" s="138"/>
      <c r="H33" s="63">
        <v>1990</v>
      </c>
      <c r="I33" s="62">
        <v>0</v>
      </c>
      <c r="J33" s="25">
        <f t="shared" si="1"/>
        <v>1990</v>
      </c>
    </row>
    <row r="34" spans="1:10" ht="20.100000000000001" customHeight="1" x14ac:dyDescent="0.25">
      <c r="A34" s="138" t="s">
        <v>1664</v>
      </c>
      <c r="B34" s="138"/>
      <c r="C34" s="138"/>
      <c r="D34" s="138"/>
      <c r="E34" s="138"/>
      <c r="F34" s="138"/>
      <c r="G34" s="138"/>
      <c r="H34" s="63">
        <v>79990</v>
      </c>
      <c r="I34" s="62">
        <v>0</v>
      </c>
      <c r="J34" s="25">
        <f t="shared" si="1"/>
        <v>79990</v>
      </c>
    </row>
    <row r="35" spans="1:10" ht="19.5" customHeight="1" x14ac:dyDescent="0.25">
      <c r="A35" s="131"/>
      <c r="B35" s="131"/>
      <c r="C35" s="131"/>
      <c r="D35" s="131"/>
      <c r="E35" s="131"/>
      <c r="F35" s="131"/>
      <c r="G35" s="131"/>
      <c r="H35" s="131"/>
      <c r="I35" s="131"/>
      <c r="J35" s="131"/>
    </row>
    <row r="36" spans="1:10" ht="39.950000000000003" customHeight="1" x14ac:dyDescent="0.25">
      <c r="A36" s="129" t="s">
        <v>1911</v>
      </c>
      <c r="B36" s="130"/>
      <c r="C36" s="130"/>
      <c r="D36" s="130"/>
      <c r="E36" s="130"/>
      <c r="F36" s="130"/>
      <c r="G36" s="130"/>
      <c r="H36" s="130"/>
      <c r="I36" s="130"/>
      <c r="J36" s="130"/>
    </row>
    <row r="37" spans="1:10" ht="30" x14ac:dyDescent="0.25">
      <c r="A37" s="107"/>
      <c r="B37" s="76" t="s">
        <v>2</v>
      </c>
      <c r="C37" s="4" t="s">
        <v>48</v>
      </c>
      <c r="D37" s="4" t="s">
        <v>49</v>
      </c>
      <c r="E37" s="39" t="s">
        <v>9</v>
      </c>
      <c r="F37" s="39" t="s">
        <v>10</v>
      </c>
      <c r="G37" s="4" t="s">
        <v>11</v>
      </c>
      <c r="H37" s="82" t="s">
        <v>17</v>
      </c>
      <c r="I37" s="82" t="s">
        <v>12</v>
      </c>
      <c r="J37" s="82" t="s">
        <v>18</v>
      </c>
    </row>
    <row r="38" spans="1:10" ht="24.95" customHeight="1" x14ac:dyDescent="0.25">
      <c r="A38" s="151"/>
      <c r="B38" s="75" t="s">
        <v>1891</v>
      </c>
      <c r="C38" s="106" t="s">
        <v>51</v>
      </c>
      <c r="D38" s="106" t="s">
        <v>53</v>
      </c>
      <c r="E38" s="106" t="s">
        <v>1038</v>
      </c>
      <c r="F38" s="33" t="s">
        <v>1801</v>
      </c>
      <c r="G38" s="106" t="s">
        <v>285</v>
      </c>
      <c r="H38" s="63">
        <v>174990</v>
      </c>
      <c r="I38" s="62">
        <v>0.2</v>
      </c>
      <c r="J38" s="63">
        <f t="shared" ref="J38:J43" si="2">CEILING(H38*0.8,10)</f>
        <v>140000</v>
      </c>
    </row>
    <row r="39" spans="1:10" ht="24.95" customHeight="1" x14ac:dyDescent="0.25">
      <c r="A39" s="152"/>
      <c r="B39" s="75" t="s">
        <v>1892</v>
      </c>
      <c r="C39" s="106" t="s">
        <v>51</v>
      </c>
      <c r="D39" s="106" t="s">
        <v>53</v>
      </c>
      <c r="E39" s="106" t="s">
        <v>1038</v>
      </c>
      <c r="F39" s="33" t="s">
        <v>1801</v>
      </c>
      <c r="G39" s="106" t="s">
        <v>285</v>
      </c>
      <c r="H39" s="63">
        <v>189990</v>
      </c>
      <c r="I39" s="62">
        <v>0.2</v>
      </c>
      <c r="J39" s="63">
        <f t="shared" si="2"/>
        <v>152000</v>
      </c>
    </row>
    <row r="40" spans="1:10" ht="24.95" customHeight="1" x14ac:dyDescent="0.25">
      <c r="A40" s="152"/>
      <c r="B40" s="75" t="s">
        <v>1893</v>
      </c>
      <c r="C40" s="106" t="s">
        <v>52</v>
      </c>
      <c r="D40" s="106" t="s">
        <v>53</v>
      </c>
      <c r="E40" s="106" t="s">
        <v>1038</v>
      </c>
      <c r="F40" s="33" t="s">
        <v>1801</v>
      </c>
      <c r="G40" s="106" t="s">
        <v>285</v>
      </c>
      <c r="H40" s="63">
        <v>189990</v>
      </c>
      <c r="I40" s="62">
        <v>0.2</v>
      </c>
      <c r="J40" s="63">
        <f t="shared" si="2"/>
        <v>152000</v>
      </c>
    </row>
    <row r="41" spans="1:10" ht="24.95" customHeight="1" x14ac:dyDescent="0.25">
      <c r="A41" s="152"/>
      <c r="B41" s="75" t="s">
        <v>1894</v>
      </c>
      <c r="C41" s="106" t="s">
        <v>52</v>
      </c>
      <c r="D41" s="106" t="s">
        <v>53</v>
      </c>
      <c r="E41" s="106" t="s">
        <v>1038</v>
      </c>
      <c r="F41" s="33" t="s">
        <v>1801</v>
      </c>
      <c r="G41" s="106" t="s">
        <v>285</v>
      </c>
      <c r="H41" s="63">
        <v>209990</v>
      </c>
      <c r="I41" s="62">
        <v>0.2</v>
      </c>
      <c r="J41" s="63">
        <f t="shared" si="2"/>
        <v>168000</v>
      </c>
    </row>
    <row r="42" spans="1:10" ht="24.95" customHeight="1" x14ac:dyDescent="0.25">
      <c r="A42" s="152"/>
      <c r="B42" s="75" t="s">
        <v>1895</v>
      </c>
      <c r="C42" s="106" t="s">
        <v>58</v>
      </c>
      <c r="D42" s="106" t="s">
        <v>53</v>
      </c>
      <c r="E42" s="106" t="s">
        <v>1038</v>
      </c>
      <c r="F42" s="33" t="s">
        <v>1801</v>
      </c>
      <c r="G42" s="106" t="s">
        <v>285</v>
      </c>
      <c r="H42" s="63">
        <v>204990</v>
      </c>
      <c r="I42" s="62">
        <v>0.2</v>
      </c>
      <c r="J42" s="63">
        <f t="shared" si="2"/>
        <v>164000</v>
      </c>
    </row>
    <row r="43" spans="1:10" ht="24.95" customHeight="1" x14ac:dyDescent="0.25">
      <c r="A43" s="153"/>
      <c r="B43" s="75" t="s">
        <v>1896</v>
      </c>
      <c r="C43" s="106" t="s">
        <v>58</v>
      </c>
      <c r="D43" s="106" t="s">
        <v>53</v>
      </c>
      <c r="E43" s="106" t="s">
        <v>1038</v>
      </c>
      <c r="F43" s="33" t="s">
        <v>1801</v>
      </c>
      <c r="G43" s="106" t="s">
        <v>285</v>
      </c>
      <c r="H43" s="63">
        <v>229990</v>
      </c>
      <c r="I43" s="62">
        <v>0.2</v>
      </c>
      <c r="J43" s="63">
        <f t="shared" si="2"/>
        <v>184000</v>
      </c>
    </row>
    <row r="44" spans="1:10" ht="20.100000000000001" customHeight="1" x14ac:dyDescent="0.25">
      <c r="A44" s="139" t="s">
        <v>74</v>
      </c>
      <c r="B44" s="139"/>
      <c r="C44" s="139"/>
      <c r="D44" s="139"/>
      <c r="E44" s="139"/>
      <c r="F44" s="139"/>
      <c r="G44" s="139"/>
      <c r="H44" s="139"/>
      <c r="I44" s="139"/>
      <c r="J44" s="139"/>
    </row>
    <row r="45" spans="1:10" ht="20.100000000000001" customHeight="1" x14ac:dyDescent="0.25">
      <c r="A45" s="138" t="s">
        <v>1897</v>
      </c>
      <c r="B45" s="138"/>
      <c r="C45" s="138"/>
      <c r="D45" s="138"/>
      <c r="E45" s="138"/>
      <c r="F45" s="138"/>
      <c r="G45" s="138"/>
      <c r="H45" s="63">
        <v>39990</v>
      </c>
      <c r="I45" s="62">
        <v>0</v>
      </c>
      <c r="J45" s="25">
        <f t="shared" ref="J45:J51" si="3">H45</f>
        <v>39990</v>
      </c>
    </row>
    <row r="46" spans="1:10" ht="20.100000000000001" customHeight="1" x14ac:dyDescent="0.25">
      <c r="A46" s="138" t="s">
        <v>1019</v>
      </c>
      <c r="B46" s="138"/>
      <c r="C46" s="138"/>
      <c r="D46" s="138"/>
      <c r="E46" s="138"/>
      <c r="F46" s="138"/>
      <c r="G46" s="138"/>
      <c r="H46" s="25">
        <v>12490</v>
      </c>
      <c r="I46" s="62">
        <v>0</v>
      </c>
      <c r="J46" s="25">
        <f t="shared" si="3"/>
        <v>12490</v>
      </c>
    </row>
    <row r="47" spans="1:10" ht="20.100000000000001" customHeight="1" x14ac:dyDescent="0.25">
      <c r="A47" s="138" t="s">
        <v>1796</v>
      </c>
      <c r="B47" s="138"/>
      <c r="C47" s="138"/>
      <c r="D47" s="138"/>
      <c r="E47" s="138"/>
      <c r="F47" s="138"/>
      <c r="G47" s="138"/>
      <c r="H47" s="63">
        <v>39990</v>
      </c>
      <c r="I47" s="62">
        <v>0</v>
      </c>
      <c r="J47" s="25">
        <f t="shared" si="3"/>
        <v>39990</v>
      </c>
    </row>
    <row r="48" spans="1:10" ht="20.100000000000001" customHeight="1" x14ac:dyDescent="0.25">
      <c r="A48" s="138" t="s">
        <v>1661</v>
      </c>
      <c r="B48" s="138"/>
      <c r="C48" s="138"/>
      <c r="D48" s="138"/>
      <c r="E48" s="138"/>
      <c r="F48" s="138"/>
      <c r="G48" s="138"/>
      <c r="H48" s="63">
        <v>29990</v>
      </c>
      <c r="I48" s="62">
        <v>0</v>
      </c>
      <c r="J48" s="25">
        <f t="shared" si="3"/>
        <v>29990</v>
      </c>
    </row>
    <row r="49" spans="1:10" ht="20.100000000000001" customHeight="1" x14ac:dyDescent="0.25">
      <c r="A49" s="138" t="s">
        <v>1898</v>
      </c>
      <c r="B49" s="138"/>
      <c r="C49" s="138"/>
      <c r="D49" s="138"/>
      <c r="E49" s="138"/>
      <c r="F49" s="138"/>
      <c r="G49" s="138"/>
      <c r="H49" s="63">
        <v>4790</v>
      </c>
      <c r="I49" s="62">
        <v>0</v>
      </c>
      <c r="J49" s="25">
        <f t="shared" si="3"/>
        <v>4790</v>
      </c>
    </row>
    <row r="50" spans="1:10" ht="20.100000000000001" customHeight="1" x14ac:dyDescent="0.25">
      <c r="A50" s="138" t="s">
        <v>1899</v>
      </c>
      <c r="B50" s="138"/>
      <c r="C50" s="138"/>
      <c r="D50" s="138"/>
      <c r="E50" s="138"/>
      <c r="F50" s="138"/>
      <c r="G50" s="138"/>
      <c r="H50" s="63" t="s">
        <v>931</v>
      </c>
      <c r="I50" s="62">
        <v>0</v>
      </c>
      <c r="J50" s="25" t="str">
        <f t="shared" si="3"/>
        <v>по запросу</v>
      </c>
    </row>
    <row r="51" spans="1:10" ht="20.100000000000001" customHeight="1" x14ac:dyDescent="0.25">
      <c r="A51" s="138" t="s">
        <v>1664</v>
      </c>
      <c r="B51" s="138"/>
      <c r="C51" s="138"/>
      <c r="D51" s="138"/>
      <c r="E51" s="138"/>
      <c r="F51" s="138"/>
      <c r="G51" s="138"/>
      <c r="H51" s="63">
        <v>79990</v>
      </c>
      <c r="I51" s="62">
        <v>0</v>
      </c>
      <c r="J51" s="25">
        <f t="shared" si="3"/>
        <v>79990</v>
      </c>
    </row>
    <row r="52" spans="1:10" ht="19.5" customHeight="1" x14ac:dyDescent="0.25">
      <c r="A52" s="131"/>
      <c r="B52" s="131"/>
      <c r="C52" s="131"/>
      <c r="D52" s="131"/>
      <c r="E52" s="131"/>
      <c r="F52" s="131"/>
      <c r="G52" s="131"/>
      <c r="H52" s="131"/>
      <c r="I52" s="131"/>
      <c r="J52" s="131"/>
    </row>
    <row r="53" spans="1:10" ht="39.950000000000003" customHeight="1" x14ac:dyDescent="0.25">
      <c r="A53" s="129" t="s">
        <v>1913</v>
      </c>
      <c r="B53" s="130"/>
      <c r="C53" s="130"/>
      <c r="D53" s="130"/>
      <c r="E53" s="130"/>
      <c r="F53" s="130"/>
      <c r="G53" s="130"/>
      <c r="H53" s="130"/>
      <c r="I53" s="130"/>
      <c r="J53" s="130"/>
    </row>
    <row r="54" spans="1:10" ht="30" x14ac:dyDescent="0.25">
      <c r="A54" s="73"/>
      <c r="B54" s="39" t="s">
        <v>2</v>
      </c>
      <c r="C54" s="4" t="s">
        <v>48</v>
      </c>
      <c r="D54" s="4" t="s">
        <v>49</v>
      </c>
      <c r="E54" s="39" t="s">
        <v>9</v>
      </c>
      <c r="F54" s="39" t="s">
        <v>10</v>
      </c>
      <c r="G54" s="4" t="s">
        <v>11</v>
      </c>
      <c r="H54" s="82" t="s">
        <v>17</v>
      </c>
      <c r="I54" s="82" t="s">
        <v>12</v>
      </c>
      <c r="J54" s="82" t="s">
        <v>18</v>
      </c>
    </row>
    <row r="55" spans="1:10" ht="30" customHeight="1" x14ac:dyDescent="0.25">
      <c r="A55" s="124"/>
      <c r="B55" s="75" t="s">
        <v>1797</v>
      </c>
      <c r="C55" s="73" t="s">
        <v>1479</v>
      </c>
      <c r="D55" s="73" t="s">
        <v>53</v>
      </c>
      <c r="E55" s="73" t="s">
        <v>1038</v>
      </c>
      <c r="F55" s="73" t="s">
        <v>13</v>
      </c>
      <c r="G55" s="73" t="s">
        <v>285</v>
      </c>
      <c r="H55" s="63">
        <v>84990</v>
      </c>
      <c r="I55" s="62">
        <v>0.2</v>
      </c>
      <c r="J55" s="63">
        <f t="shared" ref="J55:J69" si="4">CEILING(H55*0.8,10)</f>
        <v>68000</v>
      </c>
    </row>
    <row r="56" spans="1:10" ht="30" customHeight="1" x14ac:dyDescent="0.25">
      <c r="A56" s="124"/>
      <c r="B56" s="75" t="s">
        <v>1798</v>
      </c>
      <c r="C56" s="73" t="s">
        <v>1799</v>
      </c>
      <c r="D56" s="73" t="s">
        <v>53</v>
      </c>
      <c r="E56" s="73" t="s">
        <v>1038</v>
      </c>
      <c r="F56" s="73" t="s">
        <v>15</v>
      </c>
      <c r="G56" s="73" t="s">
        <v>285</v>
      </c>
      <c r="H56" s="63">
        <v>94990</v>
      </c>
      <c r="I56" s="62">
        <v>0.2</v>
      </c>
      <c r="J56" s="63">
        <f t="shared" si="4"/>
        <v>76000</v>
      </c>
    </row>
    <row r="57" spans="1:10" ht="30" customHeight="1" x14ac:dyDescent="0.25">
      <c r="A57" s="124"/>
      <c r="B57" s="75" t="s">
        <v>1800</v>
      </c>
      <c r="C57" s="73" t="s">
        <v>1799</v>
      </c>
      <c r="D57" s="73" t="s">
        <v>53</v>
      </c>
      <c r="E57" s="73" t="s">
        <v>1038</v>
      </c>
      <c r="F57" s="33" t="s">
        <v>1801</v>
      </c>
      <c r="G57" s="73" t="s">
        <v>285</v>
      </c>
      <c r="H57" s="63">
        <v>99990</v>
      </c>
      <c r="I57" s="62">
        <v>0.2</v>
      </c>
      <c r="J57" s="63">
        <f t="shared" si="4"/>
        <v>80000</v>
      </c>
    </row>
    <row r="58" spans="1:10" ht="30" customHeight="1" x14ac:dyDescent="0.25">
      <c r="A58" s="124"/>
      <c r="B58" s="75" t="s">
        <v>278</v>
      </c>
      <c r="C58" s="73" t="s">
        <v>51</v>
      </c>
      <c r="D58" s="73" t="s">
        <v>53</v>
      </c>
      <c r="E58" s="73" t="s">
        <v>1038</v>
      </c>
      <c r="F58" s="73" t="s">
        <v>13</v>
      </c>
      <c r="G58" s="73" t="s">
        <v>285</v>
      </c>
      <c r="H58" s="63">
        <v>94990</v>
      </c>
      <c r="I58" s="62">
        <v>0.2</v>
      </c>
      <c r="J58" s="63">
        <f t="shared" si="4"/>
        <v>76000</v>
      </c>
    </row>
    <row r="59" spans="1:10" ht="30" customHeight="1" x14ac:dyDescent="0.25">
      <c r="A59" s="124"/>
      <c r="B59" s="75" t="s">
        <v>280</v>
      </c>
      <c r="C59" s="73" t="s">
        <v>51</v>
      </c>
      <c r="D59" s="73" t="s">
        <v>53</v>
      </c>
      <c r="E59" s="73" t="s">
        <v>1038</v>
      </c>
      <c r="F59" s="73" t="s">
        <v>15</v>
      </c>
      <c r="G59" s="73" t="s">
        <v>285</v>
      </c>
      <c r="H59" s="63">
        <v>104940</v>
      </c>
      <c r="I59" s="62">
        <v>0.2</v>
      </c>
      <c r="J59" s="63">
        <f t="shared" si="4"/>
        <v>83960</v>
      </c>
    </row>
    <row r="60" spans="1:10" ht="30" customHeight="1" x14ac:dyDescent="0.25">
      <c r="A60" s="124"/>
      <c r="B60" s="75" t="s">
        <v>1802</v>
      </c>
      <c r="C60" s="73" t="s">
        <v>51</v>
      </c>
      <c r="D60" s="73" t="s">
        <v>53</v>
      </c>
      <c r="E60" s="73" t="s">
        <v>1038</v>
      </c>
      <c r="F60" s="33" t="s">
        <v>1801</v>
      </c>
      <c r="G60" s="73" t="s">
        <v>285</v>
      </c>
      <c r="H60" s="63">
        <v>109990</v>
      </c>
      <c r="I60" s="62">
        <v>0.2</v>
      </c>
      <c r="J60" s="63">
        <f t="shared" si="4"/>
        <v>88000</v>
      </c>
    </row>
    <row r="61" spans="1:10" ht="30" customHeight="1" x14ac:dyDescent="0.25">
      <c r="A61" s="124"/>
      <c r="B61" s="75" t="s">
        <v>279</v>
      </c>
      <c r="C61" s="73" t="s">
        <v>52</v>
      </c>
      <c r="D61" s="73" t="s">
        <v>53</v>
      </c>
      <c r="E61" s="73" t="s">
        <v>1038</v>
      </c>
      <c r="F61" s="73" t="s">
        <v>13</v>
      </c>
      <c r="G61" s="73" t="s">
        <v>285</v>
      </c>
      <c r="H61" s="63">
        <v>104990</v>
      </c>
      <c r="I61" s="62">
        <v>0.2</v>
      </c>
      <c r="J61" s="63">
        <f t="shared" si="4"/>
        <v>84000</v>
      </c>
    </row>
    <row r="62" spans="1:10" ht="30" customHeight="1" x14ac:dyDescent="0.25">
      <c r="A62" s="124"/>
      <c r="B62" s="75" t="s">
        <v>281</v>
      </c>
      <c r="C62" s="73" t="s">
        <v>52</v>
      </c>
      <c r="D62" s="73" t="s">
        <v>53</v>
      </c>
      <c r="E62" s="73" t="s">
        <v>1038</v>
      </c>
      <c r="F62" s="73" t="s">
        <v>15</v>
      </c>
      <c r="G62" s="73" t="s">
        <v>285</v>
      </c>
      <c r="H62" s="63">
        <v>114990</v>
      </c>
      <c r="I62" s="62">
        <v>0.2</v>
      </c>
      <c r="J62" s="63">
        <f t="shared" si="4"/>
        <v>92000</v>
      </c>
    </row>
    <row r="63" spans="1:10" ht="30" customHeight="1" x14ac:dyDescent="0.25">
      <c r="A63" s="124"/>
      <c r="B63" s="75" t="s">
        <v>1803</v>
      </c>
      <c r="C63" s="73" t="s">
        <v>52</v>
      </c>
      <c r="D63" s="73" t="s">
        <v>53</v>
      </c>
      <c r="E63" s="73" t="s">
        <v>1038</v>
      </c>
      <c r="F63" s="33" t="s">
        <v>1801</v>
      </c>
      <c r="G63" s="73" t="s">
        <v>285</v>
      </c>
      <c r="H63" s="63">
        <v>119990</v>
      </c>
      <c r="I63" s="62">
        <v>0.2</v>
      </c>
      <c r="J63" s="63">
        <f t="shared" si="4"/>
        <v>96000</v>
      </c>
    </row>
    <row r="64" spans="1:10" ht="30" customHeight="1" x14ac:dyDescent="0.25">
      <c r="A64" s="124"/>
      <c r="B64" s="75" t="s">
        <v>1804</v>
      </c>
      <c r="C64" s="73" t="s">
        <v>58</v>
      </c>
      <c r="D64" s="73" t="s">
        <v>53</v>
      </c>
      <c r="E64" s="73" t="s">
        <v>1038</v>
      </c>
      <c r="F64" s="73" t="s">
        <v>13</v>
      </c>
      <c r="G64" s="73" t="s">
        <v>285</v>
      </c>
      <c r="H64" s="63">
        <v>114990</v>
      </c>
      <c r="I64" s="62">
        <v>0.2</v>
      </c>
      <c r="J64" s="63">
        <f t="shared" si="4"/>
        <v>92000</v>
      </c>
    </row>
    <row r="65" spans="1:10" ht="30" customHeight="1" x14ac:dyDescent="0.25">
      <c r="A65" s="124"/>
      <c r="B65" s="75" t="s">
        <v>1805</v>
      </c>
      <c r="C65" s="73" t="s">
        <v>58</v>
      </c>
      <c r="D65" s="73" t="s">
        <v>53</v>
      </c>
      <c r="E65" s="73" t="s">
        <v>1038</v>
      </c>
      <c r="F65" s="73" t="s">
        <v>15</v>
      </c>
      <c r="G65" s="73" t="s">
        <v>285</v>
      </c>
      <c r="H65" s="63">
        <v>124990</v>
      </c>
      <c r="I65" s="62">
        <v>0.2</v>
      </c>
      <c r="J65" s="63">
        <f t="shared" si="4"/>
        <v>100000</v>
      </c>
    </row>
    <row r="66" spans="1:10" ht="30" customHeight="1" x14ac:dyDescent="0.25">
      <c r="A66" s="124"/>
      <c r="B66" s="75" t="s">
        <v>1806</v>
      </c>
      <c r="C66" s="73" t="s">
        <v>58</v>
      </c>
      <c r="D66" s="73" t="s">
        <v>53</v>
      </c>
      <c r="E66" s="73" t="s">
        <v>1038</v>
      </c>
      <c r="F66" s="33" t="s">
        <v>1801</v>
      </c>
      <c r="G66" s="73" t="s">
        <v>285</v>
      </c>
      <c r="H66" s="63">
        <v>129990</v>
      </c>
      <c r="I66" s="62">
        <v>0.2</v>
      </c>
      <c r="J66" s="63">
        <f t="shared" si="4"/>
        <v>104000</v>
      </c>
    </row>
    <row r="67" spans="1:10" ht="30" customHeight="1" x14ac:dyDescent="0.25">
      <c r="A67" s="124"/>
      <c r="B67" s="75" t="s">
        <v>282</v>
      </c>
      <c r="C67" s="73" t="s">
        <v>51</v>
      </c>
      <c r="D67" s="73" t="s">
        <v>53</v>
      </c>
      <c r="E67" s="73" t="s">
        <v>1038</v>
      </c>
      <c r="F67" s="33" t="s">
        <v>1801</v>
      </c>
      <c r="G67" s="73" t="s">
        <v>78</v>
      </c>
      <c r="H67" s="63">
        <v>134990</v>
      </c>
      <c r="I67" s="62">
        <v>0.2</v>
      </c>
      <c r="J67" s="63">
        <f t="shared" si="4"/>
        <v>108000</v>
      </c>
    </row>
    <row r="68" spans="1:10" ht="30" customHeight="1" x14ac:dyDescent="0.25">
      <c r="A68" s="124"/>
      <c r="B68" s="75" t="s">
        <v>283</v>
      </c>
      <c r="C68" s="73" t="s">
        <v>52</v>
      </c>
      <c r="D68" s="73" t="s">
        <v>53</v>
      </c>
      <c r="E68" s="73" t="s">
        <v>1038</v>
      </c>
      <c r="F68" s="33" t="s">
        <v>1801</v>
      </c>
      <c r="G68" s="73" t="s">
        <v>78</v>
      </c>
      <c r="H68" s="63">
        <v>144990</v>
      </c>
      <c r="I68" s="62">
        <v>0.2</v>
      </c>
      <c r="J68" s="63">
        <f t="shared" si="4"/>
        <v>116000</v>
      </c>
    </row>
    <row r="69" spans="1:10" ht="30" customHeight="1" x14ac:dyDescent="0.25">
      <c r="A69" s="124"/>
      <c r="B69" s="75" t="s">
        <v>284</v>
      </c>
      <c r="C69" s="73" t="s">
        <v>58</v>
      </c>
      <c r="D69" s="73" t="s">
        <v>53</v>
      </c>
      <c r="E69" s="73" t="s">
        <v>1038</v>
      </c>
      <c r="F69" s="33" t="s">
        <v>1801</v>
      </c>
      <c r="G69" s="73" t="s">
        <v>78</v>
      </c>
      <c r="H69" s="63">
        <v>154990</v>
      </c>
      <c r="I69" s="62">
        <v>0.2</v>
      </c>
      <c r="J69" s="63">
        <f t="shared" si="4"/>
        <v>124000</v>
      </c>
    </row>
    <row r="70" spans="1:10" ht="20.100000000000001" customHeight="1" x14ac:dyDescent="0.25">
      <c r="A70" s="139" t="s">
        <v>74</v>
      </c>
      <c r="B70" s="139"/>
      <c r="C70" s="139"/>
      <c r="D70" s="139"/>
      <c r="E70" s="139"/>
      <c r="F70" s="139"/>
      <c r="G70" s="139"/>
      <c r="H70" s="139"/>
      <c r="I70" s="139"/>
      <c r="J70" s="139"/>
    </row>
    <row r="71" spans="1:10" ht="20.100000000000001" customHeight="1" x14ac:dyDescent="0.25">
      <c r="A71" s="138" t="s">
        <v>1807</v>
      </c>
      <c r="B71" s="138"/>
      <c r="C71" s="138"/>
      <c r="D71" s="138"/>
      <c r="E71" s="138"/>
      <c r="F71" s="138"/>
      <c r="G71" s="138"/>
      <c r="H71" s="63">
        <v>39990</v>
      </c>
      <c r="I71" s="62">
        <v>0</v>
      </c>
      <c r="J71" s="25">
        <f t="shared" ref="J71:J78" si="5">H71</f>
        <v>39990</v>
      </c>
    </row>
    <row r="72" spans="1:10" ht="20.100000000000001" customHeight="1" x14ac:dyDescent="0.25">
      <c r="A72" s="138" t="s">
        <v>1019</v>
      </c>
      <c r="B72" s="138"/>
      <c r="C72" s="138"/>
      <c r="D72" s="138"/>
      <c r="E72" s="138"/>
      <c r="F72" s="138"/>
      <c r="G72" s="138"/>
      <c r="H72" s="25">
        <v>12490</v>
      </c>
      <c r="I72" s="62">
        <v>0</v>
      </c>
      <c r="J72" s="25">
        <f t="shared" si="5"/>
        <v>12490</v>
      </c>
    </row>
    <row r="73" spans="1:10" ht="20.100000000000001" customHeight="1" x14ac:dyDescent="0.25">
      <c r="A73" s="138" t="s">
        <v>1796</v>
      </c>
      <c r="B73" s="138"/>
      <c r="C73" s="138"/>
      <c r="D73" s="138"/>
      <c r="E73" s="138"/>
      <c r="F73" s="138"/>
      <c r="G73" s="138"/>
      <c r="H73" s="63">
        <v>39990</v>
      </c>
      <c r="I73" s="62">
        <v>0</v>
      </c>
      <c r="J73" s="25">
        <f t="shared" si="5"/>
        <v>39990</v>
      </c>
    </row>
    <row r="74" spans="1:10" ht="20.100000000000001" customHeight="1" x14ac:dyDescent="0.25">
      <c r="A74" s="138" t="s">
        <v>1661</v>
      </c>
      <c r="B74" s="138"/>
      <c r="C74" s="138"/>
      <c r="D74" s="138"/>
      <c r="E74" s="138"/>
      <c r="F74" s="138"/>
      <c r="G74" s="138"/>
      <c r="H74" s="63">
        <v>29990</v>
      </c>
      <c r="I74" s="62">
        <v>0</v>
      </c>
      <c r="J74" s="25">
        <f t="shared" si="5"/>
        <v>29990</v>
      </c>
    </row>
    <row r="75" spans="1:10" ht="20.100000000000001" customHeight="1" x14ac:dyDescent="0.25">
      <c r="A75" s="138" t="s">
        <v>1662</v>
      </c>
      <c r="B75" s="138"/>
      <c r="C75" s="138"/>
      <c r="D75" s="138"/>
      <c r="E75" s="138"/>
      <c r="F75" s="138"/>
      <c r="G75" s="138"/>
      <c r="H75" s="63">
        <v>29990</v>
      </c>
      <c r="I75" s="62">
        <v>0</v>
      </c>
      <c r="J75" s="25">
        <f t="shared" si="5"/>
        <v>29990</v>
      </c>
    </row>
    <row r="76" spans="1:10" ht="20.100000000000001" customHeight="1" x14ac:dyDescent="0.25">
      <c r="A76" s="138" t="s">
        <v>1665</v>
      </c>
      <c r="B76" s="138"/>
      <c r="C76" s="138"/>
      <c r="D76" s="138"/>
      <c r="E76" s="138"/>
      <c r="F76" s="138"/>
      <c r="G76" s="138"/>
      <c r="H76" s="63">
        <v>1990</v>
      </c>
      <c r="I76" s="62">
        <v>0</v>
      </c>
      <c r="J76" s="25">
        <f t="shared" si="5"/>
        <v>1990</v>
      </c>
    </row>
    <row r="77" spans="1:10" ht="20.100000000000001" customHeight="1" x14ac:dyDescent="0.25">
      <c r="A77" s="138" t="s">
        <v>1666</v>
      </c>
      <c r="B77" s="138"/>
      <c r="C77" s="138"/>
      <c r="D77" s="138"/>
      <c r="E77" s="138"/>
      <c r="F77" s="138"/>
      <c r="G77" s="138"/>
      <c r="H77" s="63">
        <v>1990</v>
      </c>
      <c r="I77" s="62">
        <v>0</v>
      </c>
      <c r="J77" s="25">
        <f t="shared" si="5"/>
        <v>1990</v>
      </c>
    </row>
    <row r="78" spans="1:10" ht="20.100000000000001" customHeight="1" x14ac:dyDescent="0.25">
      <c r="A78" s="138" t="s">
        <v>1664</v>
      </c>
      <c r="B78" s="138"/>
      <c r="C78" s="138"/>
      <c r="D78" s="138"/>
      <c r="E78" s="138"/>
      <c r="F78" s="138"/>
      <c r="G78" s="138"/>
      <c r="H78" s="63">
        <v>79990</v>
      </c>
      <c r="I78" s="62">
        <v>0</v>
      </c>
      <c r="J78" s="25">
        <f t="shared" si="5"/>
        <v>79990</v>
      </c>
    </row>
    <row r="79" spans="1:10" ht="19.5" customHeight="1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</row>
    <row r="80" spans="1:10" ht="39.950000000000003" customHeight="1" x14ac:dyDescent="0.25">
      <c r="A80" s="129" t="s">
        <v>1808</v>
      </c>
      <c r="B80" s="130"/>
      <c r="C80" s="130"/>
      <c r="D80" s="130"/>
      <c r="E80" s="130"/>
      <c r="F80" s="130"/>
      <c r="G80" s="130"/>
      <c r="H80" s="130"/>
      <c r="I80" s="130"/>
      <c r="J80" s="130"/>
    </row>
    <row r="81" spans="1:10" ht="30" x14ac:dyDescent="0.25">
      <c r="A81" s="73"/>
      <c r="B81" s="39" t="s">
        <v>2</v>
      </c>
      <c r="C81" s="4" t="s">
        <v>48</v>
      </c>
      <c r="D81" s="4" t="s">
        <v>49</v>
      </c>
      <c r="E81" s="39" t="s">
        <v>9</v>
      </c>
      <c r="F81" s="39" t="s">
        <v>10</v>
      </c>
      <c r="G81" s="4" t="s">
        <v>11</v>
      </c>
      <c r="H81" s="82" t="s">
        <v>17</v>
      </c>
      <c r="I81" s="82" t="s">
        <v>12</v>
      </c>
      <c r="J81" s="82" t="s">
        <v>18</v>
      </c>
    </row>
    <row r="82" spans="1:10" ht="30" customHeight="1" x14ac:dyDescent="0.25">
      <c r="A82" s="124"/>
      <c r="B82" s="75" t="s">
        <v>1097</v>
      </c>
      <c r="C82" s="73" t="s">
        <v>232</v>
      </c>
      <c r="D82" s="73" t="s">
        <v>54</v>
      </c>
      <c r="E82" s="73" t="s">
        <v>1070</v>
      </c>
      <c r="F82" s="73" t="s">
        <v>13</v>
      </c>
      <c r="G82" s="73" t="s">
        <v>296</v>
      </c>
      <c r="H82" s="25">
        <v>32490</v>
      </c>
      <c r="I82" s="62">
        <v>0.2</v>
      </c>
      <c r="J82" s="25">
        <f>CEILING(H82*0.8,10)</f>
        <v>26000</v>
      </c>
    </row>
    <row r="83" spans="1:10" ht="30" customHeight="1" x14ac:dyDescent="0.25">
      <c r="A83" s="124"/>
      <c r="B83" s="75" t="s">
        <v>1098</v>
      </c>
      <c r="C83" s="73" t="s">
        <v>290</v>
      </c>
      <c r="D83" s="73" t="s">
        <v>54</v>
      </c>
      <c r="E83" s="73" t="s">
        <v>1070</v>
      </c>
      <c r="F83" s="73" t="s">
        <v>13</v>
      </c>
      <c r="G83" s="73" t="s">
        <v>296</v>
      </c>
      <c r="H83" s="25">
        <v>34990</v>
      </c>
      <c r="I83" s="62">
        <v>0.2</v>
      </c>
      <c r="J83" s="25">
        <f t="shared" ref="J83:J95" si="6">CEILING(H83*0.8,10)</f>
        <v>28000</v>
      </c>
    </row>
    <row r="84" spans="1:10" ht="30" customHeight="1" x14ac:dyDescent="0.25">
      <c r="A84" s="124"/>
      <c r="B84" s="75" t="s">
        <v>1099</v>
      </c>
      <c r="C84" s="73" t="s">
        <v>291</v>
      </c>
      <c r="D84" s="73" t="s">
        <v>54</v>
      </c>
      <c r="E84" s="73" t="s">
        <v>1070</v>
      </c>
      <c r="F84" s="73" t="s">
        <v>13</v>
      </c>
      <c r="G84" s="73" t="s">
        <v>296</v>
      </c>
      <c r="H84" s="25">
        <v>37490</v>
      </c>
      <c r="I84" s="62">
        <v>0.2</v>
      </c>
      <c r="J84" s="25">
        <f t="shared" si="6"/>
        <v>30000</v>
      </c>
    </row>
    <row r="85" spans="1:10" ht="30" customHeight="1" x14ac:dyDescent="0.25">
      <c r="A85" s="124"/>
      <c r="B85" s="75" t="s">
        <v>1667</v>
      </c>
      <c r="C85" s="73" t="s">
        <v>466</v>
      </c>
      <c r="D85" s="73" t="s">
        <v>54</v>
      </c>
      <c r="E85" s="73" t="s">
        <v>1070</v>
      </c>
      <c r="F85" s="73" t="s">
        <v>13</v>
      </c>
      <c r="G85" s="73" t="s">
        <v>296</v>
      </c>
      <c r="H85" s="25">
        <v>44990</v>
      </c>
      <c r="I85" s="62">
        <v>0.2</v>
      </c>
      <c r="J85" s="25">
        <f t="shared" si="6"/>
        <v>36000</v>
      </c>
    </row>
    <row r="86" spans="1:10" ht="30" customHeight="1" x14ac:dyDescent="0.25">
      <c r="A86" s="124"/>
      <c r="B86" s="75" t="s">
        <v>1015</v>
      </c>
      <c r="C86" s="73" t="s">
        <v>60</v>
      </c>
      <c r="D86" s="73" t="s">
        <v>55</v>
      </c>
      <c r="E86" s="73" t="s">
        <v>1016</v>
      </c>
      <c r="F86" s="73" t="s">
        <v>13</v>
      </c>
      <c r="G86" s="73" t="s">
        <v>296</v>
      </c>
      <c r="H86" s="25">
        <v>29990</v>
      </c>
      <c r="I86" s="62">
        <v>0.2</v>
      </c>
      <c r="J86" s="25">
        <f t="shared" si="6"/>
        <v>24000</v>
      </c>
    </row>
    <row r="87" spans="1:10" ht="30" customHeight="1" x14ac:dyDescent="0.25">
      <c r="A87" s="124"/>
      <c r="B87" s="75" t="s">
        <v>1100</v>
      </c>
      <c r="C87" s="73" t="s">
        <v>292</v>
      </c>
      <c r="D87" s="73" t="s">
        <v>294</v>
      </c>
      <c r="E87" s="73" t="s">
        <v>1070</v>
      </c>
      <c r="F87" s="73" t="s">
        <v>13</v>
      </c>
      <c r="G87" s="73" t="s">
        <v>296</v>
      </c>
      <c r="H87" s="25">
        <v>37490</v>
      </c>
      <c r="I87" s="62">
        <v>0.2</v>
      </c>
      <c r="J87" s="25">
        <f t="shared" si="6"/>
        <v>30000</v>
      </c>
    </row>
    <row r="88" spans="1:10" ht="30" customHeight="1" x14ac:dyDescent="0.25">
      <c r="A88" s="124"/>
      <c r="B88" s="75" t="s">
        <v>286</v>
      </c>
      <c r="C88" s="73" t="s">
        <v>216</v>
      </c>
      <c r="D88" s="73" t="s">
        <v>55</v>
      </c>
      <c r="E88" s="73" t="s">
        <v>1016</v>
      </c>
      <c r="F88" s="73" t="s">
        <v>13</v>
      </c>
      <c r="G88" s="73" t="s">
        <v>297</v>
      </c>
      <c r="H88" s="25">
        <v>32490</v>
      </c>
      <c r="I88" s="62">
        <v>0.2</v>
      </c>
      <c r="J88" s="25">
        <f t="shared" si="6"/>
        <v>26000</v>
      </c>
    </row>
    <row r="89" spans="1:10" ht="30" customHeight="1" x14ac:dyDescent="0.25">
      <c r="A89" s="124"/>
      <c r="B89" s="75" t="s">
        <v>287</v>
      </c>
      <c r="C89" s="73" t="s">
        <v>217</v>
      </c>
      <c r="D89" s="73" t="s">
        <v>55</v>
      </c>
      <c r="E89" s="73" t="s">
        <v>1016</v>
      </c>
      <c r="F89" s="73" t="s">
        <v>13</v>
      </c>
      <c r="G89" s="73" t="s">
        <v>297</v>
      </c>
      <c r="H89" s="25">
        <v>34990</v>
      </c>
      <c r="I89" s="62">
        <v>0.2</v>
      </c>
      <c r="J89" s="25">
        <f t="shared" si="6"/>
        <v>28000</v>
      </c>
    </row>
    <row r="90" spans="1:10" ht="30" customHeight="1" x14ac:dyDescent="0.25">
      <c r="A90" s="124"/>
      <c r="B90" s="75" t="s">
        <v>1295</v>
      </c>
      <c r="C90" s="73" t="s">
        <v>64</v>
      </c>
      <c r="D90" s="73" t="s">
        <v>221</v>
      </c>
      <c r="E90" s="73" t="s">
        <v>1016</v>
      </c>
      <c r="F90" s="73" t="s">
        <v>13</v>
      </c>
      <c r="G90" s="73" t="s">
        <v>297</v>
      </c>
      <c r="H90" s="25">
        <v>27990</v>
      </c>
      <c r="I90" s="62">
        <v>0.2</v>
      </c>
      <c r="J90" s="25">
        <f t="shared" si="6"/>
        <v>22400</v>
      </c>
    </row>
    <row r="91" spans="1:10" ht="30" customHeight="1" x14ac:dyDescent="0.25">
      <c r="A91" s="124"/>
      <c r="B91" s="75" t="s">
        <v>1294</v>
      </c>
      <c r="C91" s="73" t="s">
        <v>65</v>
      </c>
      <c r="D91" s="73" t="s">
        <v>55</v>
      </c>
      <c r="E91" s="73" t="s">
        <v>1016</v>
      </c>
      <c r="F91" s="73" t="s">
        <v>13</v>
      </c>
      <c r="G91" s="73" t="s">
        <v>297</v>
      </c>
      <c r="H91" s="25">
        <v>37490</v>
      </c>
      <c r="I91" s="62">
        <v>0.2</v>
      </c>
      <c r="J91" s="25">
        <f t="shared" si="6"/>
        <v>30000</v>
      </c>
    </row>
    <row r="92" spans="1:10" ht="30" customHeight="1" x14ac:dyDescent="0.25">
      <c r="A92" s="124"/>
      <c r="B92" s="75" t="s">
        <v>1668</v>
      </c>
      <c r="C92" s="73" t="s">
        <v>66</v>
      </c>
      <c r="D92" s="73" t="s">
        <v>55</v>
      </c>
      <c r="E92" s="73" t="s">
        <v>1070</v>
      </c>
      <c r="F92" s="73" t="s">
        <v>13</v>
      </c>
      <c r="G92" s="73" t="s">
        <v>297</v>
      </c>
      <c r="H92" s="25">
        <v>44990</v>
      </c>
      <c r="I92" s="62">
        <v>0.2</v>
      </c>
      <c r="J92" s="25">
        <f>CEILING(H92*0.8,10)</f>
        <v>36000</v>
      </c>
    </row>
    <row r="93" spans="1:10" ht="30" customHeight="1" x14ac:dyDescent="0.25">
      <c r="A93" s="124"/>
      <c r="B93" s="75" t="s">
        <v>1020</v>
      </c>
      <c r="C93" s="73" t="s">
        <v>218</v>
      </c>
      <c r="D93" s="73" t="s">
        <v>56</v>
      </c>
      <c r="E93" s="73" t="s">
        <v>1016</v>
      </c>
      <c r="F93" s="73" t="s">
        <v>13</v>
      </c>
      <c r="G93" s="73" t="s">
        <v>297</v>
      </c>
      <c r="H93" s="25">
        <v>29990</v>
      </c>
      <c r="I93" s="62">
        <v>0.2</v>
      </c>
      <c r="J93" s="25">
        <f t="shared" si="6"/>
        <v>24000</v>
      </c>
    </row>
    <row r="94" spans="1:10" ht="30" customHeight="1" x14ac:dyDescent="0.25">
      <c r="A94" s="124"/>
      <c r="B94" s="75" t="s">
        <v>288</v>
      </c>
      <c r="C94" s="73" t="s">
        <v>293</v>
      </c>
      <c r="D94" s="73" t="s">
        <v>295</v>
      </c>
      <c r="E94" s="73" t="s">
        <v>1016</v>
      </c>
      <c r="F94" s="73" t="s">
        <v>13</v>
      </c>
      <c r="G94" s="73" t="s">
        <v>297</v>
      </c>
      <c r="H94" s="25">
        <v>37490</v>
      </c>
      <c r="I94" s="62">
        <v>0.2</v>
      </c>
      <c r="J94" s="25">
        <f t="shared" si="6"/>
        <v>30000</v>
      </c>
    </row>
    <row r="95" spans="1:10" ht="30" customHeight="1" x14ac:dyDescent="0.25">
      <c r="A95" s="124"/>
      <c r="B95" s="75" t="s">
        <v>289</v>
      </c>
      <c r="C95" s="73" t="s">
        <v>67</v>
      </c>
      <c r="D95" s="73" t="s">
        <v>56</v>
      </c>
      <c r="E95" s="73" t="s">
        <v>1016</v>
      </c>
      <c r="F95" s="73" t="s">
        <v>13</v>
      </c>
      <c r="G95" s="73" t="s">
        <v>297</v>
      </c>
      <c r="H95" s="25">
        <v>32490</v>
      </c>
      <c r="I95" s="62">
        <v>0.2</v>
      </c>
      <c r="J95" s="25">
        <f t="shared" si="6"/>
        <v>26000</v>
      </c>
    </row>
    <row r="96" spans="1:10" ht="30" customHeight="1" x14ac:dyDescent="0.25">
      <c r="A96" s="124"/>
      <c r="B96" s="75" t="s">
        <v>1669</v>
      </c>
      <c r="C96" s="73" t="s">
        <v>344</v>
      </c>
      <c r="D96" s="73" t="s">
        <v>56</v>
      </c>
      <c r="E96" s="73" t="s">
        <v>1070</v>
      </c>
      <c r="F96" s="73" t="s">
        <v>13</v>
      </c>
      <c r="G96" s="73" t="s">
        <v>297</v>
      </c>
      <c r="H96" s="25">
        <v>34990</v>
      </c>
      <c r="I96" s="62">
        <v>0.2</v>
      </c>
      <c r="J96" s="25">
        <f>CEILING(H96*0.8,10)</f>
        <v>28000</v>
      </c>
    </row>
    <row r="97" spans="1:10" ht="20.100000000000001" customHeight="1" x14ac:dyDescent="0.25">
      <c r="A97" s="139" t="s">
        <v>74</v>
      </c>
      <c r="B97" s="139"/>
      <c r="C97" s="139"/>
      <c r="D97" s="139"/>
      <c r="E97" s="139"/>
      <c r="F97" s="139"/>
      <c r="G97" s="139"/>
      <c r="H97" s="139"/>
      <c r="I97" s="139"/>
      <c r="J97" s="139"/>
    </row>
    <row r="98" spans="1:10" ht="20.100000000000001" customHeight="1" x14ac:dyDescent="0.25">
      <c r="A98" s="138" t="s">
        <v>1017</v>
      </c>
      <c r="B98" s="138"/>
      <c r="C98" s="138"/>
      <c r="D98" s="138"/>
      <c r="E98" s="138"/>
      <c r="F98" s="138"/>
      <c r="G98" s="138"/>
      <c r="H98" s="25">
        <v>490</v>
      </c>
      <c r="I98" s="62">
        <v>0</v>
      </c>
      <c r="J98" s="25">
        <f>H98</f>
        <v>490</v>
      </c>
    </row>
    <row r="99" spans="1:10" ht="20.100000000000001" customHeight="1" x14ac:dyDescent="0.25">
      <c r="A99" s="138" t="s">
        <v>1018</v>
      </c>
      <c r="B99" s="138"/>
      <c r="C99" s="138"/>
      <c r="D99" s="138"/>
      <c r="E99" s="138"/>
      <c r="F99" s="138"/>
      <c r="G99" s="138"/>
      <c r="H99" s="25">
        <v>990</v>
      </c>
      <c r="I99" s="62">
        <v>0</v>
      </c>
      <c r="J99" s="25">
        <f>H99</f>
        <v>990</v>
      </c>
    </row>
    <row r="100" spans="1:10" ht="20.100000000000001" customHeight="1" x14ac:dyDescent="0.25">
      <c r="A100" s="138" t="s">
        <v>1019</v>
      </c>
      <c r="B100" s="138"/>
      <c r="C100" s="138"/>
      <c r="D100" s="138"/>
      <c r="E100" s="138"/>
      <c r="F100" s="138"/>
      <c r="G100" s="138"/>
      <c r="H100" s="25">
        <v>3990</v>
      </c>
      <c r="I100" s="62">
        <v>0</v>
      </c>
      <c r="J100" s="25">
        <f>H100</f>
        <v>3990</v>
      </c>
    </row>
    <row r="101" spans="1:10" ht="19.5" customHeight="1" x14ac:dyDescent="0.25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</row>
    <row r="102" spans="1:10" ht="60" customHeight="1" x14ac:dyDescent="0.25">
      <c r="A102" s="129" t="s">
        <v>1973</v>
      </c>
      <c r="B102" s="130"/>
      <c r="C102" s="130"/>
      <c r="D102" s="130"/>
      <c r="E102" s="130"/>
      <c r="F102" s="130"/>
      <c r="G102" s="130"/>
      <c r="H102" s="130"/>
      <c r="I102" s="130"/>
      <c r="J102" s="130"/>
    </row>
    <row r="103" spans="1:10" ht="30" x14ac:dyDescent="0.25">
      <c r="A103" s="73"/>
      <c r="B103" s="76" t="s">
        <v>2</v>
      </c>
      <c r="C103" s="4" t="s">
        <v>48</v>
      </c>
      <c r="D103" s="4" t="s">
        <v>49</v>
      </c>
      <c r="E103" s="39" t="s">
        <v>9</v>
      </c>
      <c r="F103" s="39" t="s">
        <v>10</v>
      </c>
      <c r="G103" s="4" t="s">
        <v>11</v>
      </c>
      <c r="H103" s="82" t="s">
        <v>17</v>
      </c>
      <c r="I103" s="82" t="s">
        <v>12</v>
      </c>
      <c r="J103" s="82" t="s">
        <v>18</v>
      </c>
    </row>
    <row r="104" spans="1:10" ht="30" customHeight="1" x14ac:dyDescent="0.25">
      <c r="A104" s="148"/>
      <c r="B104" s="75" t="s">
        <v>1021</v>
      </c>
      <c r="C104" s="73" t="s">
        <v>232</v>
      </c>
      <c r="D104" s="73" t="s">
        <v>54</v>
      </c>
      <c r="E104" s="73" t="s">
        <v>1016</v>
      </c>
      <c r="F104" s="73" t="s">
        <v>15</v>
      </c>
      <c r="G104" s="73" t="s">
        <v>296</v>
      </c>
      <c r="H104" s="25">
        <v>39990</v>
      </c>
      <c r="I104" s="62">
        <v>0.2</v>
      </c>
      <c r="J104" s="25">
        <f t="shared" ref="J104:J116" si="7">CEILING(H104*0.8,10)</f>
        <v>32000</v>
      </c>
    </row>
    <row r="105" spans="1:10" ht="30" customHeight="1" x14ac:dyDescent="0.25">
      <c r="A105" s="149"/>
      <c r="B105" s="75" t="s">
        <v>1022</v>
      </c>
      <c r="C105" s="73" t="s">
        <v>290</v>
      </c>
      <c r="D105" s="73" t="s">
        <v>54</v>
      </c>
      <c r="E105" s="73" t="s">
        <v>1016</v>
      </c>
      <c r="F105" s="73" t="s">
        <v>15</v>
      </c>
      <c r="G105" s="73" t="s">
        <v>296</v>
      </c>
      <c r="H105" s="25">
        <v>42490</v>
      </c>
      <c r="I105" s="62">
        <v>0.2</v>
      </c>
      <c r="J105" s="25">
        <f t="shared" si="7"/>
        <v>34000</v>
      </c>
    </row>
    <row r="106" spans="1:10" ht="30" customHeight="1" x14ac:dyDescent="0.25">
      <c r="A106" s="149"/>
      <c r="B106" s="75" t="s">
        <v>1023</v>
      </c>
      <c r="C106" s="73" t="s">
        <v>291</v>
      </c>
      <c r="D106" s="73" t="s">
        <v>54</v>
      </c>
      <c r="E106" s="73" t="s">
        <v>1016</v>
      </c>
      <c r="F106" s="73" t="s">
        <v>15</v>
      </c>
      <c r="G106" s="73" t="s">
        <v>296</v>
      </c>
      <c r="H106" s="25">
        <v>44990</v>
      </c>
      <c r="I106" s="62">
        <v>0.2</v>
      </c>
      <c r="J106" s="25">
        <f t="shared" si="7"/>
        <v>36000</v>
      </c>
    </row>
    <row r="107" spans="1:10" ht="30" customHeight="1" x14ac:dyDescent="0.25">
      <c r="A107" s="149"/>
      <c r="B107" s="75" t="s">
        <v>1670</v>
      </c>
      <c r="C107" s="73" t="s">
        <v>466</v>
      </c>
      <c r="D107" s="73" t="s">
        <v>54</v>
      </c>
      <c r="E107" s="73" t="s">
        <v>1016</v>
      </c>
      <c r="F107" s="73" t="s">
        <v>15</v>
      </c>
      <c r="G107" s="73" t="s">
        <v>296</v>
      </c>
      <c r="H107" s="25">
        <v>52490</v>
      </c>
      <c r="I107" s="62">
        <v>0.2</v>
      </c>
      <c r="J107" s="25">
        <f t="shared" si="7"/>
        <v>42000</v>
      </c>
    </row>
    <row r="108" spans="1:10" ht="30" customHeight="1" x14ac:dyDescent="0.25">
      <c r="A108" s="149"/>
      <c r="B108" s="75" t="s">
        <v>1024</v>
      </c>
      <c r="C108" s="73" t="s">
        <v>60</v>
      </c>
      <c r="D108" s="73" t="s">
        <v>55</v>
      </c>
      <c r="E108" s="73" t="s">
        <v>1016</v>
      </c>
      <c r="F108" s="73" t="s">
        <v>15</v>
      </c>
      <c r="G108" s="73" t="s">
        <v>296</v>
      </c>
      <c r="H108" s="25">
        <v>37490</v>
      </c>
      <c r="I108" s="62">
        <v>0.2</v>
      </c>
      <c r="J108" s="25">
        <f t="shared" si="7"/>
        <v>30000</v>
      </c>
    </row>
    <row r="109" spans="1:10" ht="30" customHeight="1" x14ac:dyDescent="0.25">
      <c r="A109" s="149"/>
      <c r="B109" s="75" t="s">
        <v>1025</v>
      </c>
      <c r="C109" s="73" t="s">
        <v>292</v>
      </c>
      <c r="D109" s="73" t="s">
        <v>294</v>
      </c>
      <c r="E109" s="73" t="s">
        <v>1016</v>
      </c>
      <c r="F109" s="73" t="s">
        <v>15</v>
      </c>
      <c r="G109" s="73" t="s">
        <v>296</v>
      </c>
      <c r="H109" s="25">
        <v>44990</v>
      </c>
      <c r="I109" s="62">
        <v>0.2</v>
      </c>
      <c r="J109" s="25">
        <f t="shared" si="7"/>
        <v>36000</v>
      </c>
    </row>
    <row r="110" spans="1:10" ht="30" customHeight="1" x14ac:dyDescent="0.25">
      <c r="A110" s="149"/>
      <c r="B110" s="75" t="s">
        <v>1974</v>
      </c>
      <c r="C110" s="116" t="s">
        <v>216</v>
      </c>
      <c r="D110" s="116" t="s">
        <v>55</v>
      </c>
      <c r="E110" s="116" t="s">
        <v>1016</v>
      </c>
      <c r="F110" s="116" t="s">
        <v>15</v>
      </c>
      <c r="G110" s="116" t="s">
        <v>297</v>
      </c>
      <c r="H110" s="25">
        <v>39990</v>
      </c>
      <c r="I110" s="62">
        <v>0.2</v>
      </c>
      <c r="J110" s="25">
        <f t="shared" si="7"/>
        <v>32000</v>
      </c>
    </row>
    <row r="111" spans="1:10" ht="30" customHeight="1" x14ac:dyDescent="0.25">
      <c r="A111" s="149"/>
      <c r="B111" s="75" t="s">
        <v>1975</v>
      </c>
      <c r="C111" s="116" t="s">
        <v>217</v>
      </c>
      <c r="D111" s="116" t="s">
        <v>55</v>
      </c>
      <c r="E111" s="116" t="s">
        <v>1016</v>
      </c>
      <c r="F111" s="116" t="s">
        <v>15</v>
      </c>
      <c r="G111" s="116" t="s">
        <v>297</v>
      </c>
      <c r="H111" s="25">
        <v>42490</v>
      </c>
      <c r="I111" s="62">
        <v>0.2</v>
      </c>
      <c r="J111" s="25">
        <f t="shared" si="7"/>
        <v>34000</v>
      </c>
    </row>
    <row r="112" spans="1:10" ht="30" customHeight="1" x14ac:dyDescent="0.25">
      <c r="A112" s="149"/>
      <c r="B112" s="75" t="s">
        <v>1976</v>
      </c>
      <c r="C112" s="116" t="s">
        <v>65</v>
      </c>
      <c r="D112" s="116" t="s">
        <v>55</v>
      </c>
      <c r="E112" s="116" t="s">
        <v>1016</v>
      </c>
      <c r="F112" s="116" t="s">
        <v>15</v>
      </c>
      <c r="G112" s="116" t="s">
        <v>297</v>
      </c>
      <c r="H112" s="25">
        <v>44990</v>
      </c>
      <c r="I112" s="62">
        <v>0.2</v>
      </c>
      <c r="J112" s="25">
        <f t="shared" si="7"/>
        <v>36000</v>
      </c>
    </row>
    <row r="113" spans="1:10" ht="30" customHeight="1" x14ac:dyDescent="0.25">
      <c r="A113" s="149"/>
      <c r="B113" s="75" t="s">
        <v>1977</v>
      </c>
      <c r="C113" s="116" t="s">
        <v>66</v>
      </c>
      <c r="D113" s="116" t="s">
        <v>55</v>
      </c>
      <c r="E113" s="116" t="s">
        <v>1016</v>
      </c>
      <c r="F113" s="116" t="s">
        <v>15</v>
      </c>
      <c r="G113" s="116" t="s">
        <v>297</v>
      </c>
      <c r="H113" s="25">
        <v>52490</v>
      </c>
      <c r="I113" s="62">
        <v>0.2</v>
      </c>
      <c r="J113" s="25">
        <f t="shared" si="7"/>
        <v>42000</v>
      </c>
    </row>
    <row r="114" spans="1:10" ht="30" customHeight="1" x14ac:dyDescent="0.25">
      <c r="A114" s="149"/>
      <c r="B114" s="108" t="s">
        <v>1978</v>
      </c>
      <c r="C114" s="116" t="s">
        <v>293</v>
      </c>
      <c r="D114" s="116" t="s">
        <v>295</v>
      </c>
      <c r="E114" s="116" t="s">
        <v>1016</v>
      </c>
      <c r="F114" s="116" t="s">
        <v>15</v>
      </c>
      <c r="G114" s="116" t="s">
        <v>297</v>
      </c>
      <c r="H114" s="25">
        <v>44990</v>
      </c>
      <c r="I114" s="62">
        <v>0.2</v>
      </c>
      <c r="J114" s="25">
        <f t="shared" si="7"/>
        <v>36000</v>
      </c>
    </row>
    <row r="115" spans="1:10" ht="30" customHeight="1" x14ac:dyDescent="0.25">
      <c r="A115" s="149"/>
      <c r="B115" s="75" t="s">
        <v>1979</v>
      </c>
      <c r="C115" s="116" t="s">
        <v>218</v>
      </c>
      <c r="D115" s="116" t="s">
        <v>56</v>
      </c>
      <c r="E115" s="116" t="s">
        <v>1016</v>
      </c>
      <c r="F115" s="116" t="s">
        <v>15</v>
      </c>
      <c r="G115" s="116" t="s">
        <v>297</v>
      </c>
      <c r="H115" s="25">
        <v>37490</v>
      </c>
      <c r="I115" s="62">
        <v>0.2</v>
      </c>
      <c r="J115" s="25">
        <f t="shared" si="7"/>
        <v>30000</v>
      </c>
    </row>
    <row r="116" spans="1:10" ht="30" customHeight="1" x14ac:dyDescent="0.25">
      <c r="A116" s="150"/>
      <c r="B116" s="75" t="s">
        <v>1980</v>
      </c>
      <c r="C116" s="116" t="s">
        <v>67</v>
      </c>
      <c r="D116" s="116" t="s">
        <v>56</v>
      </c>
      <c r="E116" s="116" t="s">
        <v>1016</v>
      </c>
      <c r="F116" s="116" t="s">
        <v>15</v>
      </c>
      <c r="G116" s="116" t="s">
        <v>297</v>
      </c>
      <c r="H116" s="25">
        <v>39990</v>
      </c>
      <c r="I116" s="62">
        <v>0.2</v>
      </c>
      <c r="J116" s="25">
        <f t="shared" si="7"/>
        <v>32000</v>
      </c>
    </row>
    <row r="117" spans="1:10" ht="20.100000000000001" customHeight="1" x14ac:dyDescent="0.25">
      <c r="A117" s="139" t="s">
        <v>74</v>
      </c>
      <c r="B117" s="139"/>
      <c r="C117" s="139"/>
      <c r="D117" s="139"/>
      <c r="E117" s="139"/>
      <c r="F117" s="139"/>
      <c r="G117" s="139"/>
      <c r="H117" s="139"/>
      <c r="I117" s="139"/>
      <c r="J117" s="139"/>
    </row>
    <row r="118" spans="1:10" ht="20.100000000000001" customHeight="1" x14ac:dyDescent="0.25">
      <c r="A118" s="138" t="s">
        <v>1017</v>
      </c>
      <c r="B118" s="138"/>
      <c r="C118" s="138"/>
      <c r="D118" s="138"/>
      <c r="E118" s="138"/>
      <c r="F118" s="138"/>
      <c r="G118" s="138"/>
      <c r="H118" s="25">
        <v>490</v>
      </c>
      <c r="I118" s="62">
        <v>0</v>
      </c>
      <c r="J118" s="25">
        <f>H118</f>
        <v>490</v>
      </c>
    </row>
    <row r="119" spans="1:10" ht="20.100000000000001" customHeight="1" x14ac:dyDescent="0.25">
      <c r="A119" s="138" t="s">
        <v>1018</v>
      </c>
      <c r="B119" s="138"/>
      <c r="C119" s="138"/>
      <c r="D119" s="138"/>
      <c r="E119" s="138"/>
      <c r="F119" s="138"/>
      <c r="G119" s="138"/>
      <c r="H119" s="25">
        <v>990</v>
      </c>
      <c r="I119" s="62">
        <v>0</v>
      </c>
      <c r="J119" s="25">
        <f>H119</f>
        <v>990</v>
      </c>
    </row>
    <row r="120" spans="1:10" ht="20.100000000000001" customHeight="1" x14ac:dyDescent="0.25">
      <c r="A120" s="138" t="s">
        <v>1019</v>
      </c>
      <c r="B120" s="138"/>
      <c r="C120" s="138"/>
      <c r="D120" s="138"/>
      <c r="E120" s="138"/>
      <c r="F120" s="138"/>
      <c r="G120" s="138"/>
      <c r="H120" s="25">
        <v>3990</v>
      </c>
      <c r="I120" s="62">
        <v>0</v>
      </c>
      <c r="J120" s="25">
        <f>H120</f>
        <v>3990</v>
      </c>
    </row>
    <row r="121" spans="1:10" ht="19.5" customHeight="1" x14ac:dyDescent="0.2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</row>
    <row r="122" spans="1:10" ht="39.950000000000003" customHeight="1" x14ac:dyDescent="0.25">
      <c r="A122" s="129" t="s">
        <v>1671</v>
      </c>
      <c r="B122" s="130"/>
      <c r="C122" s="130"/>
      <c r="D122" s="130"/>
      <c r="E122" s="130"/>
      <c r="F122" s="130"/>
      <c r="G122" s="130"/>
      <c r="H122" s="130"/>
      <c r="I122" s="130"/>
      <c r="J122" s="130"/>
    </row>
    <row r="123" spans="1:10" ht="30" x14ac:dyDescent="0.25">
      <c r="A123" s="73"/>
      <c r="B123" s="39" t="s">
        <v>2</v>
      </c>
      <c r="C123" s="4" t="s">
        <v>48</v>
      </c>
      <c r="D123" s="4" t="s">
        <v>49</v>
      </c>
      <c r="E123" s="39" t="s">
        <v>9</v>
      </c>
      <c r="F123" s="39" t="s">
        <v>10</v>
      </c>
      <c r="G123" s="4" t="s">
        <v>11</v>
      </c>
      <c r="H123" s="82" t="s">
        <v>17</v>
      </c>
      <c r="I123" s="82" t="s">
        <v>12</v>
      </c>
      <c r="J123" s="82" t="s">
        <v>18</v>
      </c>
    </row>
    <row r="124" spans="1:10" ht="30" customHeight="1" x14ac:dyDescent="0.25">
      <c r="A124" s="124"/>
      <c r="B124" s="75" t="s">
        <v>1026</v>
      </c>
      <c r="C124" s="73" t="s">
        <v>52</v>
      </c>
      <c r="D124" s="73" t="s">
        <v>54</v>
      </c>
      <c r="E124" s="73" t="s">
        <v>1016</v>
      </c>
      <c r="F124" s="73" t="s">
        <v>15</v>
      </c>
      <c r="G124" s="73" t="s">
        <v>705</v>
      </c>
      <c r="H124" s="25">
        <v>82490</v>
      </c>
      <c r="I124" s="62">
        <v>0.2</v>
      </c>
      <c r="J124" s="25">
        <f>CEILING(H124*0.8,10)</f>
        <v>66000</v>
      </c>
    </row>
    <row r="125" spans="1:10" ht="30" customHeight="1" x14ac:dyDescent="0.25">
      <c r="A125" s="124"/>
      <c r="B125" s="75" t="s">
        <v>1027</v>
      </c>
      <c r="C125" s="73" t="s">
        <v>59</v>
      </c>
      <c r="D125" s="73" t="s">
        <v>54</v>
      </c>
      <c r="E125" s="73" t="s">
        <v>1016</v>
      </c>
      <c r="F125" s="73" t="s">
        <v>15</v>
      </c>
      <c r="G125" s="73" t="s">
        <v>705</v>
      </c>
      <c r="H125" s="25">
        <v>89990</v>
      </c>
      <c r="I125" s="62">
        <v>0.2</v>
      </c>
      <c r="J125" s="25">
        <f t="shared" ref="J125:J135" si="8">CEILING(H125*0.8,10)</f>
        <v>72000</v>
      </c>
    </row>
    <row r="126" spans="1:10" ht="30" customHeight="1" x14ac:dyDescent="0.25">
      <c r="A126" s="124"/>
      <c r="B126" s="75" t="s">
        <v>1028</v>
      </c>
      <c r="C126" s="73" t="s">
        <v>103</v>
      </c>
      <c r="D126" s="73" t="s">
        <v>54</v>
      </c>
      <c r="E126" s="73" t="s">
        <v>1016</v>
      </c>
      <c r="F126" s="73" t="s">
        <v>15</v>
      </c>
      <c r="G126" s="73" t="s">
        <v>705</v>
      </c>
      <c r="H126" s="25">
        <v>99990</v>
      </c>
      <c r="I126" s="62">
        <v>0.2</v>
      </c>
      <c r="J126" s="25">
        <f t="shared" si="8"/>
        <v>80000</v>
      </c>
    </row>
    <row r="127" spans="1:10" ht="30" customHeight="1" x14ac:dyDescent="0.25">
      <c r="A127" s="124"/>
      <c r="B127" s="75" t="s">
        <v>1029</v>
      </c>
      <c r="C127" s="73" t="s">
        <v>103</v>
      </c>
      <c r="D127" s="73" t="s">
        <v>54</v>
      </c>
      <c r="E127" s="73" t="s">
        <v>1038</v>
      </c>
      <c r="F127" s="73" t="s">
        <v>15</v>
      </c>
      <c r="G127" s="73" t="s">
        <v>705</v>
      </c>
      <c r="H127" s="25">
        <v>102490</v>
      </c>
      <c r="I127" s="62">
        <v>0.2</v>
      </c>
      <c r="J127" s="25">
        <f t="shared" si="8"/>
        <v>82000</v>
      </c>
    </row>
    <row r="128" spans="1:10" ht="30" customHeight="1" x14ac:dyDescent="0.25">
      <c r="A128" s="124"/>
      <c r="B128" s="75" t="s">
        <v>1030</v>
      </c>
      <c r="C128" s="73" t="s">
        <v>104</v>
      </c>
      <c r="D128" s="73" t="s">
        <v>54</v>
      </c>
      <c r="E128" s="73" t="s">
        <v>1038</v>
      </c>
      <c r="F128" s="73" t="s">
        <v>15</v>
      </c>
      <c r="G128" s="73" t="s">
        <v>705</v>
      </c>
      <c r="H128" s="25">
        <v>104990</v>
      </c>
      <c r="I128" s="62">
        <v>0.2</v>
      </c>
      <c r="J128" s="25">
        <f t="shared" si="8"/>
        <v>84000</v>
      </c>
    </row>
    <row r="129" spans="1:10" ht="30" customHeight="1" x14ac:dyDescent="0.25">
      <c r="A129" s="124"/>
      <c r="B129" s="75" t="s">
        <v>1031</v>
      </c>
      <c r="C129" s="73" t="s">
        <v>1037</v>
      </c>
      <c r="D129" s="73" t="s">
        <v>54</v>
      </c>
      <c r="E129" s="73" t="s">
        <v>1038</v>
      </c>
      <c r="F129" s="73" t="s">
        <v>15</v>
      </c>
      <c r="G129" s="73" t="s">
        <v>705</v>
      </c>
      <c r="H129" s="25">
        <v>109990</v>
      </c>
      <c r="I129" s="62">
        <v>0.2</v>
      </c>
      <c r="J129" s="25">
        <f t="shared" si="8"/>
        <v>88000</v>
      </c>
    </row>
    <row r="130" spans="1:10" ht="30" customHeight="1" x14ac:dyDescent="0.25">
      <c r="A130" s="124"/>
      <c r="B130" s="75" t="s">
        <v>1032</v>
      </c>
      <c r="C130" s="73" t="s">
        <v>104</v>
      </c>
      <c r="D130" s="73" t="s">
        <v>55</v>
      </c>
      <c r="E130" s="73" t="s">
        <v>1016</v>
      </c>
      <c r="F130" s="73" t="s">
        <v>15</v>
      </c>
      <c r="G130" s="73" t="s">
        <v>705</v>
      </c>
      <c r="H130" s="25">
        <v>82490</v>
      </c>
      <c r="I130" s="62">
        <v>0.2</v>
      </c>
      <c r="J130" s="25">
        <f t="shared" si="8"/>
        <v>66000</v>
      </c>
    </row>
    <row r="131" spans="1:10" ht="30" customHeight="1" x14ac:dyDescent="0.25">
      <c r="A131" s="124"/>
      <c r="B131" s="75" t="s">
        <v>1033</v>
      </c>
      <c r="C131" s="73" t="s">
        <v>64</v>
      </c>
      <c r="D131" s="73" t="s">
        <v>55</v>
      </c>
      <c r="E131" s="73" t="s">
        <v>1016</v>
      </c>
      <c r="F131" s="73" t="s">
        <v>15</v>
      </c>
      <c r="G131" s="73" t="s">
        <v>706</v>
      </c>
      <c r="H131" s="25">
        <v>84990</v>
      </c>
      <c r="I131" s="62">
        <v>0.2</v>
      </c>
      <c r="J131" s="25">
        <f t="shared" si="8"/>
        <v>68000</v>
      </c>
    </row>
    <row r="132" spans="1:10" ht="30" customHeight="1" x14ac:dyDescent="0.25">
      <c r="A132" s="124"/>
      <c r="B132" s="75" t="s">
        <v>1034</v>
      </c>
      <c r="C132" s="73" t="s">
        <v>106</v>
      </c>
      <c r="D132" s="73" t="s">
        <v>55</v>
      </c>
      <c r="E132" s="73" t="s">
        <v>1016</v>
      </c>
      <c r="F132" s="73" t="s">
        <v>15</v>
      </c>
      <c r="G132" s="73" t="s">
        <v>706</v>
      </c>
      <c r="H132" s="25">
        <v>94990</v>
      </c>
      <c r="I132" s="62">
        <v>0.2</v>
      </c>
      <c r="J132" s="25">
        <f t="shared" si="8"/>
        <v>76000</v>
      </c>
    </row>
    <row r="133" spans="1:10" ht="30" customHeight="1" x14ac:dyDescent="0.25">
      <c r="A133" s="124"/>
      <c r="B133" s="75" t="s">
        <v>1035</v>
      </c>
      <c r="C133" s="73" t="s">
        <v>107</v>
      </c>
      <c r="D133" s="73" t="s">
        <v>55</v>
      </c>
      <c r="E133" s="73" t="s">
        <v>1016</v>
      </c>
      <c r="F133" s="73" t="s">
        <v>15</v>
      </c>
      <c r="G133" s="73" t="s">
        <v>706</v>
      </c>
      <c r="H133" s="25">
        <v>109990</v>
      </c>
      <c r="I133" s="62">
        <v>0.2</v>
      </c>
      <c r="J133" s="25">
        <f t="shared" si="8"/>
        <v>88000</v>
      </c>
    </row>
    <row r="134" spans="1:10" ht="30" customHeight="1" x14ac:dyDescent="0.25">
      <c r="A134" s="124"/>
      <c r="B134" s="75" t="s">
        <v>1036</v>
      </c>
      <c r="C134" s="73" t="s">
        <v>107</v>
      </c>
      <c r="D134" s="73" t="s">
        <v>55</v>
      </c>
      <c r="E134" s="73" t="s">
        <v>1038</v>
      </c>
      <c r="F134" s="73" t="s">
        <v>15</v>
      </c>
      <c r="G134" s="73" t="s">
        <v>706</v>
      </c>
      <c r="H134" s="25">
        <v>112490</v>
      </c>
      <c r="I134" s="62">
        <v>0.2</v>
      </c>
      <c r="J134" s="25">
        <f t="shared" si="8"/>
        <v>90000</v>
      </c>
    </row>
    <row r="135" spans="1:10" ht="30" customHeight="1" x14ac:dyDescent="0.25">
      <c r="A135" s="124"/>
      <c r="B135" s="75" t="s">
        <v>1039</v>
      </c>
      <c r="C135" s="73" t="s">
        <v>108</v>
      </c>
      <c r="D135" s="73" t="s">
        <v>56</v>
      </c>
      <c r="E135" s="73" t="s">
        <v>1016</v>
      </c>
      <c r="F135" s="73" t="s">
        <v>15</v>
      </c>
      <c r="G135" s="73" t="s">
        <v>706</v>
      </c>
      <c r="H135" s="25">
        <v>89990</v>
      </c>
      <c r="I135" s="62">
        <v>0.2</v>
      </c>
      <c r="J135" s="25">
        <f t="shared" si="8"/>
        <v>72000</v>
      </c>
    </row>
    <row r="136" spans="1:10" ht="20.100000000000001" customHeight="1" x14ac:dyDescent="0.25">
      <c r="A136" s="139" t="s">
        <v>74</v>
      </c>
      <c r="B136" s="139"/>
      <c r="C136" s="139"/>
      <c r="D136" s="139"/>
      <c r="E136" s="139"/>
      <c r="F136" s="139"/>
      <c r="G136" s="139"/>
      <c r="H136" s="139"/>
      <c r="I136" s="139"/>
      <c r="J136" s="139"/>
    </row>
    <row r="137" spans="1:10" ht="20.100000000000001" customHeight="1" x14ac:dyDescent="0.25">
      <c r="A137" s="138" t="s">
        <v>1809</v>
      </c>
      <c r="B137" s="138"/>
      <c r="C137" s="138"/>
      <c r="D137" s="138"/>
      <c r="E137" s="138"/>
      <c r="F137" s="138"/>
      <c r="G137" s="138"/>
      <c r="H137" s="25">
        <v>67490</v>
      </c>
      <c r="I137" s="62">
        <v>0</v>
      </c>
      <c r="J137" s="25">
        <f t="shared" ref="J137:J142" si="9">H137</f>
        <v>67490</v>
      </c>
    </row>
    <row r="138" spans="1:10" ht="20.100000000000001" customHeight="1" x14ac:dyDescent="0.25">
      <c r="A138" s="138" t="s">
        <v>1796</v>
      </c>
      <c r="B138" s="138"/>
      <c r="C138" s="138"/>
      <c r="D138" s="138"/>
      <c r="E138" s="138"/>
      <c r="F138" s="138"/>
      <c r="G138" s="138"/>
      <c r="H138" s="25">
        <v>39990</v>
      </c>
      <c r="I138" s="62">
        <v>0</v>
      </c>
      <c r="J138" s="25">
        <f t="shared" si="9"/>
        <v>39990</v>
      </c>
    </row>
    <row r="139" spans="1:10" ht="20.100000000000001" customHeight="1" x14ac:dyDescent="0.25">
      <c r="A139" s="138" t="s">
        <v>1661</v>
      </c>
      <c r="B139" s="138"/>
      <c r="C139" s="138"/>
      <c r="D139" s="138"/>
      <c r="E139" s="138"/>
      <c r="F139" s="138"/>
      <c r="G139" s="138"/>
      <c r="H139" s="25">
        <v>29990</v>
      </c>
      <c r="I139" s="62">
        <v>0</v>
      </c>
      <c r="J139" s="25">
        <f t="shared" si="9"/>
        <v>29990</v>
      </c>
    </row>
    <row r="140" spans="1:10" ht="20.100000000000001" customHeight="1" x14ac:dyDescent="0.25">
      <c r="A140" s="138" t="s">
        <v>1662</v>
      </c>
      <c r="B140" s="138"/>
      <c r="C140" s="138"/>
      <c r="D140" s="138"/>
      <c r="E140" s="138"/>
      <c r="F140" s="138"/>
      <c r="G140" s="138"/>
      <c r="H140" s="25">
        <v>29990</v>
      </c>
      <c r="I140" s="62">
        <v>0</v>
      </c>
      <c r="J140" s="25">
        <f t="shared" si="9"/>
        <v>29990</v>
      </c>
    </row>
    <row r="141" spans="1:10" ht="20.100000000000001" customHeight="1" x14ac:dyDescent="0.25">
      <c r="A141" s="138" t="s">
        <v>1663</v>
      </c>
      <c r="B141" s="138"/>
      <c r="C141" s="138"/>
      <c r="D141" s="138"/>
      <c r="E141" s="138"/>
      <c r="F141" s="138"/>
      <c r="G141" s="138"/>
      <c r="H141" s="25">
        <v>1990</v>
      </c>
      <c r="I141" s="62">
        <v>0</v>
      </c>
      <c r="J141" s="25">
        <f t="shared" si="9"/>
        <v>1990</v>
      </c>
    </row>
    <row r="142" spans="1:10" ht="20.100000000000001" customHeight="1" x14ac:dyDescent="0.25">
      <c r="A142" s="138" t="s">
        <v>1019</v>
      </c>
      <c r="B142" s="138"/>
      <c r="C142" s="138"/>
      <c r="D142" s="138"/>
      <c r="E142" s="138"/>
      <c r="F142" s="138"/>
      <c r="G142" s="138"/>
      <c r="H142" s="25">
        <v>12490</v>
      </c>
      <c r="I142" s="62">
        <v>0</v>
      </c>
      <c r="J142" s="25">
        <f t="shared" si="9"/>
        <v>12490</v>
      </c>
    </row>
    <row r="143" spans="1:10" ht="19.5" customHeight="1" x14ac:dyDescent="0.2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</row>
    <row r="144" spans="1:10" ht="39.950000000000003" customHeight="1" x14ac:dyDescent="0.25">
      <c r="A144" s="129" t="s">
        <v>1672</v>
      </c>
      <c r="B144" s="130"/>
      <c r="C144" s="130"/>
      <c r="D144" s="130"/>
      <c r="E144" s="130"/>
      <c r="F144" s="130"/>
      <c r="G144" s="130"/>
      <c r="H144" s="130"/>
      <c r="I144" s="130"/>
      <c r="J144" s="130"/>
    </row>
    <row r="145" spans="1:10" ht="30" x14ac:dyDescent="0.25">
      <c r="A145" s="73"/>
      <c r="B145" s="39" t="s">
        <v>2</v>
      </c>
      <c r="C145" s="4" t="s">
        <v>48</v>
      </c>
      <c r="D145" s="4" t="s">
        <v>49</v>
      </c>
      <c r="E145" s="39" t="s">
        <v>9</v>
      </c>
      <c r="F145" s="39" t="s">
        <v>10</v>
      </c>
      <c r="G145" s="4" t="s">
        <v>11</v>
      </c>
      <c r="H145" s="82" t="s">
        <v>17</v>
      </c>
      <c r="I145" s="82" t="s">
        <v>12</v>
      </c>
      <c r="J145" s="82" t="s">
        <v>18</v>
      </c>
    </row>
    <row r="146" spans="1:10" ht="24.95" customHeight="1" x14ac:dyDescent="0.25">
      <c r="A146" s="144"/>
      <c r="B146" s="75" t="s">
        <v>1040</v>
      </c>
      <c r="C146" s="73" t="s">
        <v>232</v>
      </c>
      <c r="D146" s="73" t="s">
        <v>55</v>
      </c>
      <c r="E146" s="73" t="s">
        <v>1016</v>
      </c>
      <c r="F146" s="73" t="s">
        <v>15</v>
      </c>
      <c r="G146" s="73" t="s">
        <v>296</v>
      </c>
      <c r="H146" s="25">
        <v>22490</v>
      </c>
      <c r="I146" s="62">
        <v>0.2</v>
      </c>
      <c r="J146" s="25">
        <f t="shared" ref="J146:J151" si="10">CEILING(H146*0.8,10)</f>
        <v>18000</v>
      </c>
    </row>
    <row r="147" spans="1:10" ht="24.95" customHeight="1" x14ac:dyDescent="0.25">
      <c r="A147" s="144"/>
      <c r="B147" s="75" t="s">
        <v>1041</v>
      </c>
      <c r="C147" s="73" t="s">
        <v>290</v>
      </c>
      <c r="D147" s="73" t="s">
        <v>55</v>
      </c>
      <c r="E147" s="73" t="s">
        <v>1016</v>
      </c>
      <c r="F147" s="73" t="s">
        <v>15</v>
      </c>
      <c r="G147" s="73" t="s">
        <v>296</v>
      </c>
      <c r="H147" s="25">
        <v>24990</v>
      </c>
      <c r="I147" s="62">
        <v>0.2</v>
      </c>
      <c r="J147" s="25">
        <f t="shared" si="10"/>
        <v>20000</v>
      </c>
    </row>
    <row r="148" spans="1:10" ht="24.95" customHeight="1" x14ac:dyDescent="0.25">
      <c r="A148" s="144"/>
      <c r="B148" s="75" t="s">
        <v>1042</v>
      </c>
      <c r="C148" s="73" t="s">
        <v>291</v>
      </c>
      <c r="D148" s="73" t="s">
        <v>55</v>
      </c>
      <c r="E148" s="73" t="s">
        <v>1016</v>
      </c>
      <c r="F148" s="73" t="s">
        <v>15</v>
      </c>
      <c r="G148" s="73" t="s">
        <v>296</v>
      </c>
      <c r="H148" s="25">
        <v>27490</v>
      </c>
      <c r="I148" s="62">
        <v>0.2</v>
      </c>
      <c r="J148" s="25">
        <f t="shared" si="10"/>
        <v>22000</v>
      </c>
    </row>
    <row r="149" spans="1:10" ht="24.95" customHeight="1" x14ac:dyDescent="0.25">
      <c r="A149" s="144"/>
      <c r="B149" s="75" t="s">
        <v>1043</v>
      </c>
      <c r="C149" s="73" t="s">
        <v>60</v>
      </c>
      <c r="D149" s="73" t="s">
        <v>56</v>
      </c>
      <c r="E149" s="73" t="s">
        <v>1016</v>
      </c>
      <c r="F149" s="73" t="s">
        <v>15</v>
      </c>
      <c r="G149" s="73" t="s">
        <v>296</v>
      </c>
      <c r="H149" s="25">
        <v>19990</v>
      </c>
      <c r="I149" s="62">
        <v>0.2</v>
      </c>
      <c r="J149" s="25">
        <f t="shared" si="10"/>
        <v>16000</v>
      </c>
    </row>
    <row r="150" spans="1:10" ht="24.95" customHeight="1" x14ac:dyDescent="0.25">
      <c r="A150" s="144"/>
      <c r="B150" s="75" t="s">
        <v>1044</v>
      </c>
      <c r="C150" s="73" t="s">
        <v>216</v>
      </c>
      <c r="D150" s="73" t="s">
        <v>56</v>
      </c>
      <c r="E150" s="73" t="s">
        <v>1016</v>
      </c>
      <c r="F150" s="73" t="s">
        <v>13</v>
      </c>
      <c r="G150" s="73" t="s">
        <v>297</v>
      </c>
      <c r="H150" s="25">
        <v>17490</v>
      </c>
      <c r="I150" s="62">
        <v>0.2</v>
      </c>
      <c r="J150" s="25">
        <f t="shared" si="10"/>
        <v>14000</v>
      </c>
    </row>
    <row r="151" spans="1:10" ht="24.95" customHeight="1" x14ac:dyDescent="0.25">
      <c r="A151" s="144"/>
      <c r="B151" s="75" t="s">
        <v>1045</v>
      </c>
      <c r="C151" s="73" t="s">
        <v>217</v>
      </c>
      <c r="D151" s="73" t="s">
        <v>56</v>
      </c>
      <c r="E151" s="73" t="s">
        <v>1016</v>
      </c>
      <c r="F151" s="73" t="s">
        <v>13</v>
      </c>
      <c r="G151" s="73" t="s">
        <v>297</v>
      </c>
      <c r="H151" s="25">
        <v>19990</v>
      </c>
      <c r="I151" s="62">
        <v>0.2</v>
      </c>
      <c r="J151" s="25">
        <f t="shared" si="10"/>
        <v>16000</v>
      </c>
    </row>
    <row r="152" spans="1:10" ht="24.95" customHeight="1" x14ac:dyDescent="0.25">
      <c r="A152" s="144"/>
      <c r="B152" s="75" t="s">
        <v>1296</v>
      </c>
      <c r="C152" s="73" t="s">
        <v>65</v>
      </c>
      <c r="D152" s="73" t="s">
        <v>56</v>
      </c>
      <c r="E152" s="73" t="s">
        <v>1016</v>
      </c>
      <c r="F152" s="73" t="s">
        <v>13</v>
      </c>
      <c r="G152" s="73" t="s">
        <v>297</v>
      </c>
      <c r="H152" s="25">
        <v>22490</v>
      </c>
      <c r="I152" s="62">
        <v>0.2</v>
      </c>
      <c r="J152" s="25">
        <f>CEILING(H152*0.8,10)</f>
        <v>18000</v>
      </c>
    </row>
    <row r="153" spans="1:10" ht="24.95" customHeight="1" x14ac:dyDescent="0.25">
      <c r="A153" s="144"/>
      <c r="B153" s="75" t="s">
        <v>1673</v>
      </c>
      <c r="C153" s="73" t="s">
        <v>66</v>
      </c>
      <c r="D153" s="73" t="s">
        <v>56</v>
      </c>
      <c r="E153" s="73" t="s">
        <v>1070</v>
      </c>
      <c r="F153" s="73" t="s">
        <v>13</v>
      </c>
      <c r="G153" s="73" t="s">
        <v>297</v>
      </c>
      <c r="H153" s="25">
        <v>27490</v>
      </c>
      <c r="I153" s="62">
        <v>0.2</v>
      </c>
      <c r="J153" s="25">
        <f>CEILING(H153*0.8,10)</f>
        <v>22000</v>
      </c>
    </row>
    <row r="154" spans="1:10" ht="24.95" customHeight="1" x14ac:dyDescent="0.25">
      <c r="A154" s="144"/>
      <c r="B154" s="75" t="s">
        <v>1297</v>
      </c>
      <c r="C154" s="73" t="s">
        <v>218</v>
      </c>
      <c r="D154" s="73" t="s">
        <v>57</v>
      </c>
      <c r="E154" s="73" t="s">
        <v>1016</v>
      </c>
      <c r="F154" s="73" t="s">
        <v>13</v>
      </c>
      <c r="G154" s="73" t="s">
        <v>297</v>
      </c>
      <c r="H154" s="25">
        <v>17490</v>
      </c>
      <c r="I154" s="62">
        <v>0.2</v>
      </c>
      <c r="J154" s="25">
        <f>CEILING(H154*0.8,10)</f>
        <v>14000</v>
      </c>
    </row>
    <row r="155" spans="1:10" ht="24.95" customHeight="1" x14ac:dyDescent="0.25">
      <c r="A155" s="144"/>
      <c r="B155" s="75" t="s">
        <v>1298</v>
      </c>
      <c r="C155" s="73" t="s">
        <v>67</v>
      </c>
      <c r="D155" s="73" t="s">
        <v>57</v>
      </c>
      <c r="E155" s="73" t="s">
        <v>1016</v>
      </c>
      <c r="F155" s="73" t="s">
        <v>13</v>
      </c>
      <c r="G155" s="73" t="s">
        <v>297</v>
      </c>
      <c r="H155" s="25">
        <v>19990</v>
      </c>
      <c r="I155" s="62">
        <v>0.2</v>
      </c>
      <c r="J155" s="25">
        <f>CEILING(H155*0.8,10)</f>
        <v>16000</v>
      </c>
    </row>
    <row r="156" spans="1:10" ht="24.95" customHeight="1" x14ac:dyDescent="0.25">
      <c r="A156" s="144"/>
      <c r="B156" s="75" t="s">
        <v>1674</v>
      </c>
      <c r="C156" s="73" t="s">
        <v>344</v>
      </c>
      <c r="D156" s="73" t="s">
        <v>57</v>
      </c>
      <c r="E156" s="73" t="s">
        <v>1070</v>
      </c>
      <c r="F156" s="73" t="s">
        <v>13</v>
      </c>
      <c r="G156" s="73" t="s">
        <v>297</v>
      </c>
      <c r="H156" s="25">
        <v>22490</v>
      </c>
      <c r="I156" s="62">
        <v>0.2</v>
      </c>
      <c r="J156" s="25">
        <f>CEILING(H156*0.8,10)</f>
        <v>18000</v>
      </c>
    </row>
    <row r="157" spans="1:10" ht="20.100000000000001" customHeight="1" x14ac:dyDescent="0.25">
      <c r="A157" s="139" t="s">
        <v>74</v>
      </c>
      <c r="B157" s="139"/>
      <c r="C157" s="139"/>
      <c r="D157" s="139"/>
      <c r="E157" s="139"/>
      <c r="F157" s="139"/>
      <c r="G157" s="139"/>
      <c r="H157" s="139"/>
      <c r="I157" s="139"/>
      <c r="J157" s="139"/>
    </row>
    <row r="158" spans="1:10" ht="20.100000000000001" customHeight="1" x14ac:dyDescent="0.25">
      <c r="A158" s="138" t="s">
        <v>1017</v>
      </c>
      <c r="B158" s="138"/>
      <c r="C158" s="138"/>
      <c r="D158" s="138"/>
      <c r="E158" s="138"/>
      <c r="F158" s="138"/>
      <c r="G158" s="138"/>
      <c r="H158" s="25">
        <v>490</v>
      </c>
      <c r="I158" s="62">
        <v>0</v>
      </c>
      <c r="J158" s="25">
        <f>H158</f>
        <v>490</v>
      </c>
    </row>
    <row r="159" spans="1:10" ht="20.100000000000001" customHeight="1" x14ac:dyDescent="0.25">
      <c r="A159" s="138" t="s">
        <v>1018</v>
      </c>
      <c r="B159" s="138"/>
      <c r="C159" s="138"/>
      <c r="D159" s="138"/>
      <c r="E159" s="138"/>
      <c r="F159" s="138"/>
      <c r="G159" s="138"/>
      <c r="H159" s="25">
        <v>990</v>
      </c>
      <c r="I159" s="62">
        <v>0</v>
      </c>
      <c r="J159" s="25">
        <f>H159</f>
        <v>990</v>
      </c>
    </row>
    <row r="160" spans="1:10" ht="19.5" customHeight="1" x14ac:dyDescent="0.25">
      <c r="A160" s="138" t="s">
        <v>1019</v>
      </c>
      <c r="B160" s="138"/>
      <c r="C160" s="138"/>
      <c r="D160" s="138"/>
      <c r="E160" s="138"/>
      <c r="F160" s="138"/>
      <c r="G160" s="138"/>
      <c r="H160" s="25">
        <v>3990</v>
      </c>
      <c r="I160" s="62">
        <v>0</v>
      </c>
      <c r="J160" s="25">
        <f>H160</f>
        <v>3990</v>
      </c>
    </row>
    <row r="161" spans="1:10" ht="19.5" customHeight="1" x14ac:dyDescent="0.25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</row>
    <row r="162" spans="1:10" ht="39.950000000000003" customHeight="1" x14ac:dyDescent="0.25">
      <c r="A162" s="129" t="s">
        <v>1675</v>
      </c>
      <c r="B162" s="130"/>
      <c r="C162" s="130"/>
      <c r="D162" s="130"/>
      <c r="E162" s="130"/>
      <c r="F162" s="130"/>
      <c r="G162" s="130"/>
      <c r="H162" s="130"/>
      <c r="I162" s="130"/>
      <c r="J162" s="130"/>
    </row>
    <row r="163" spans="1:10" ht="30" x14ac:dyDescent="0.25">
      <c r="A163" s="73"/>
      <c r="B163" s="39" t="s">
        <v>2</v>
      </c>
      <c r="C163" s="4" t="s">
        <v>48</v>
      </c>
      <c r="D163" s="4" t="s">
        <v>49</v>
      </c>
      <c r="E163" s="39" t="s">
        <v>9</v>
      </c>
      <c r="F163" s="39" t="s">
        <v>10</v>
      </c>
      <c r="G163" s="4" t="s">
        <v>11</v>
      </c>
      <c r="H163" s="82" t="s">
        <v>17</v>
      </c>
      <c r="I163" s="82" t="s">
        <v>12</v>
      </c>
      <c r="J163" s="82" t="s">
        <v>18</v>
      </c>
    </row>
    <row r="164" spans="1:10" ht="24.95" customHeight="1" x14ac:dyDescent="0.25">
      <c r="A164" s="144"/>
      <c r="B164" s="75" t="s">
        <v>1299</v>
      </c>
      <c r="C164" s="73" t="s">
        <v>109</v>
      </c>
      <c r="D164" s="73" t="s">
        <v>56</v>
      </c>
      <c r="E164" s="73" t="s">
        <v>1016</v>
      </c>
      <c r="F164" s="73" t="s">
        <v>13</v>
      </c>
      <c r="G164" s="73" t="s">
        <v>1306</v>
      </c>
      <c r="H164" s="25">
        <v>49990</v>
      </c>
      <c r="I164" s="62">
        <v>0.2</v>
      </c>
      <c r="J164" s="25">
        <f>CEILING(H164*0.8,10)</f>
        <v>40000</v>
      </c>
    </row>
    <row r="165" spans="1:10" ht="24.95" customHeight="1" x14ac:dyDescent="0.25">
      <c r="A165" s="144"/>
      <c r="B165" s="75" t="s">
        <v>1300</v>
      </c>
      <c r="C165" s="73" t="s">
        <v>168</v>
      </c>
      <c r="D165" s="73" t="s">
        <v>56</v>
      </c>
      <c r="E165" s="73" t="s">
        <v>1016</v>
      </c>
      <c r="F165" s="73" t="s">
        <v>13</v>
      </c>
      <c r="G165" s="73" t="s">
        <v>1306</v>
      </c>
      <c r="H165" s="25">
        <v>64990</v>
      </c>
      <c r="I165" s="62">
        <v>0.2</v>
      </c>
      <c r="J165" s="25">
        <f t="shared" ref="J165:J170" si="11">CEILING(H165*0.8,10)</f>
        <v>52000</v>
      </c>
    </row>
    <row r="166" spans="1:10" ht="24.95" customHeight="1" x14ac:dyDescent="0.25">
      <c r="A166" s="144"/>
      <c r="B166" s="75" t="s">
        <v>1301</v>
      </c>
      <c r="C166" s="73" t="s">
        <v>726</v>
      </c>
      <c r="D166" s="73" t="s">
        <v>56</v>
      </c>
      <c r="E166" s="73" t="s">
        <v>1016</v>
      </c>
      <c r="F166" s="73" t="s">
        <v>13</v>
      </c>
      <c r="G166" s="73" t="s">
        <v>1306</v>
      </c>
      <c r="H166" s="25">
        <v>79990</v>
      </c>
      <c r="I166" s="62">
        <v>0.2</v>
      </c>
      <c r="J166" s="25">
        <f t="shared" si="11"/>
        <v>64000</v>
      </c>
    </row>
    <row r="167" spans="1:10" ht="24.95" customHeight="1" x14ac:dyDescent="0.25">
      <c r="A167" s="144"/>
      <c r="B167" s="75" t="s">
        <v>1302</v>
      </c>
      <c r="C167" s="73" t="s">
        <v>727</v>
      </c>
      <c r="D167" s="73" t="s">
        <v>57</v>
      </c>
      <c r="E167" s="73" t="s">
        <v>1016</v>
      </c>
      <c r="F167" s="73" t="s">
        <v>13</v>
      </c>
      <c r="G167" s="73" t="s">
        <v>1306</v>
      </c>
      <c r="H167" s="25">
        <v>64990</v>
      </c>
      <c r="I167" s="62">
        <v>0.2</v>
      </c>
      <c r="J167" s="25">
        <f t="shared" si="11"/>
        <v>52000</v>
      </c>
    </row>
    <row r="168" spans="1:10" ht="24.95" customHeight="1" x14ac:dyDescent="0.25">
      <c r="A168" s="144"/>
      <c r="B168" s="75" t="s">
        <v>1303</v>
      </c>
      <c r="C168" s="73" t="s">
        <v>109</v>
      </c>
      <c r="D168" s="73" t="s">
        <v>56</v>
      </c>
      <c r="E168" s="73" t="s">
        <v>1016</v>
      </c>
      <c r="F168" s="73" t="s">
        <v>15</v>
      </c>
      <c r="G168" s="73" t="s">
        <v>1306</v>
      </c>
      <c r="H168" s="25">
        <v>69990</v>
      </c>
      <c r="I168" s="62">
        <v>0.2</v>
      </c>
      <c r="J168" s="25">
        <f t="shared" si="11"/>
        <v>56000</v>
      </c>
    </row>
    <row r="169" spans="1:10" ht="24.95" customHeight="1" x14ac:dyDescent="0.25">
      <c r="A169" s="144"/>
      <c r="B169" s="75" t="s">
        <v>1304</v>
      </c>
      <c r="C169" s="73" t="s">
        <v>168</v>
      </c>
      <c r="D169" s="73" t="s">
        <v>56</v>
      </c>
      <c r="E169" s="73" t="s">
        <v>1016</v>
      </c>
      <c r="F169" s="73" t="s">
        <v>15</v>
      </c>
      <c r="G169" s="73" t="s">
        <v>1306</v>
      </c>
      <c r="H169" s="25">
        <v>84990</v>
      </c>
      <c r="I169" s="62">
        <v>0.2</v>
      </c>
      <c r="J169" s="25">
        <f t="shared" si="11"/>
        <v>68000</v>
      </c>
    </row>
    <row r="170" spans="1:10" ht="24.95" customHeight="1" x14ac:dyDescent="0.25">
      <c r="A170" s="144"/>
      <c r="B170" s="75" t="s">
        <v>1305</v>
      </c>
      <c r="C170" s="73" t="s">
        <v>726</v>
      </c>
      <c r="D170" s="73" t="s">
        <v>56</v>
      </c>
      <c r="E170" s="73" t="s">
        <v>1016</v>
      </c>
      <c r="F170" s="73" t="s">
        <v>15</v>
      </c>
      <c r="G170" s="73" t="s">
        <v>1306</v>
      </c>
      <c r="H170" s="25">
        <v>99990</v>
      </c>
      <c r="I170" s="62">
        <v>0.2</v>
      </c>
      <c r="J170" s="25">
        <f t="shared" si="11"/>
        <v>80000</v>
      </c>
    </row>
    <row r="171" spans="1:10" ht="20.100000000000001" customHeight="1" x14ac:dyDescent="0.25">
      <c r="A171" s="139" t="s">
        <v>74</v>
      </c>
      <c r="B171" s="139"/>
      <c r="C171" s="139"/>
      <c r="D171" s="139"/>
      <c r="E171" s="139"/>
      <c r="F171" s="139"/>
      <c r="G171" s="139"/>
      <c r="H171" s="139"/>
      <c r="I171" s="139"/>
      <c r="J171" s="139"/>
    </row>
    <row r="172" spans="1:10" ht="20.100000000000001" customHeight="1" x14ac:dyDescent="0.25">
      <c r="A172" s="138" t="s">
        <v>1676</v>
      </c>
      <c r="B172" s="138"/>
      <c r="C172" s="138"/>
      <c r="D172" s="138"/>
      <c r="E172" s="138"/>
      <c r="F172" s="138"/>
      <c r="G172" s="138"/>
      <c r="H172" s="25">
        <v>11990</v>
      </c>
      <c r="I172" s="62">
        <v>0</v>
      </c>
      <c r="J172" s="25">
        <f>H172</f>
        <v>11990</v>
      </c>
    </row>
    <row r="173" spans="1:10" ht="20.100000000000001" customHeight="1" x14ac:dyDescent="0.25">
      <c r="A173" s="138" t="s">
        <v>1019</v>
      </c>
      <c r="B173" s="138"/>
      <c r="C173" s="138"/>
      <c r="D173" s="138"/>
      <c r="E173" s="138"/>
      <c r="F173" s="138"/>
      <c r="G173" s="138"/>
      <c r="H173" s="25">
        <v>3990</v>
      </c>
      <c r="I173" s="62">
        <v>0</v>
      </c>
      <c r="J173" s="25">
        <f>H173</f>
        <v>3990</v>
      </c>
    </row>
    <row r="174" spans="1:10" ht="19.5" customHeight="1" x14ac:dyDescent="0.25">
      <c r="A174" s="131"/>
      <c r="B174" s="131"/>
      <c r="C174" s="131"/>
      <c r="D174" s="131"/>
      <c r="E174" s="131"/>
      <c r="F174" s="131"/>
      <c r="G174" s="131"/>
      <c r="H174" s="131"/>
      <c r="I174" s="131"/>
      <c r="J174" s="131"/>
    </row>
    <row r="175" spans="1:10" ht="39.950000000000003" customHeight="1" x14ac:dyDescent="0.25">
      <c r="A175" s="129" t="s">
        <v>1677</v>
      </c>
      <c r="B175" s="130"/>
      <c r="C175" s="130"/>
      <c r="D175" s="130"/>
      <c r="E175" s="130"/>
      <c r="F175" s="130"/>
      <c r="G175" s="130"/>
      <c r="H175" s="130"/>
      <c r="I175" s="130"/>
      <c r="J175" s="130"/>
    </row>
    <row r="176" spans="1:10" ht="30" x14ac:dyDescent="0.25">
      <c r="A176" s="73"/>
      <c r="B176" s="39" t="s">
        <v>2</v>
      </c>
      <c r="C176" s="4" t="s">
        <v>48</v>
      </c>
      <c r="D176" s="4" t="s">
        <v>49</v>
      </c>
      <c r="E176" s="39" t="s">
        <v>9</v>
      </c>
      <c r="F176" s="39" t="s">
        <v>10</v>
      </c>
      <c r="G176" s="4" t="s">
        <v>11</v>
      </c>
      <c r="H176" s="82" t="s">
        <v>17</v>
      </c>
      <c r="I176" s="82" t="s">
        <v>12</v>
      </c>
      <c r="J176" s="82" t="s">
        <v>18</v>
      </c>
    </row>
    <row r="177" spans="1:10" ht="30" customHeight="1" x14ac:dyDescent="0.25">
      <c r="A177" s="144"/>
      <c r="B177" s="75" t="s">
        <v>1307</v>
      </c>
      <c r="C177" s="73" t="s">
        <v>109</v>
      </c>
      <c r="D177" s="73" t="s">
        <v>57</v>
      </c>
      <c r="E177" s="73" t="s">
        <v>1016</v>
      </c>
      <c r="F177" s="73" t="s">
        <v>13</v>
      </c>
      <c r="G177" s="73" t="s">
        <v>1306</v>
      </c>
      <c r="H177" s="25">
        <v>32490</v>
      </c>
      <c r="I177" s="62">
        <v>0.2</v>
      </c>
      <c r="J177" s="25">
        <f>CEILING(H177*0.8,10)</f>
        <v>26000</v>
      </c>
    </row>
    <row r="178" spans="1:10" ht="30" customHeight="1" x14ac:dyDescent="0.25">
      <c r="A178" s="144"/>
      <c r="B178" s="75" t="s">
        <v>1308</v>
      </c>
      <c r="C178" s="73" t="s">
        <v>168</v>
      </c>
      <c r="D178" s="73" t="s">
        <v>57</v>
      </c>
      <c r="E178" s="73" t="s">
        <v>1016</v>
      </c>
      <c r="F178" s="73" t="s">
        <v>13</v>
      </c>
      <c r="G178" s="73" t="s">
        <v>1306</v>
      </c>
      <c r="H178" s="25">
        <v>39990</v>
      </c>
      <c r="I178" s="62">
        <v>0.2</v>
      </c>
      <c r="J178" s="25">
        <f>CEILING(H178*0.8,10)</f>
        <v>32000</v>
      </c>
    </row>
    <row r="179" spans="1:10" ht="30" customHeight="1" x14ac:dyDescent="0.25">
      <c r="A179" s="144"/>
      <c r="B179" s="75" t="s">
        <v>1309</v>
      </c>
      <c r="C179" s="73" t="s">
        <v>726</v>
      </c>
      <c r="D179" s="73" t="s">
        <v>57</v>
      </c>
      <c r="E179" s="73" t="s">
        <v>1016</v>
      </c>
      <c r="F179" s="73" t="s">
        <v>13</v>
      </c>
      <c r="G179" s="73" t="s">
        <v>1306</v>
      </c>
      <c r="H179" s="25">
        <v>47490</v>
      </c>
      <c r="I179" s="62">
        <v>0.2</v>
      </c>
      <c r="J179" s="25">
        <f>CEILING(H179*0.8,10)</f>
        <v>38000</v>
      </c>
    </row>
    <row r="180" spans="1:10" ht="30" customHeight="1" x14ac:dyDescent="0.25">
      <c r="A180" s="144"/>
      <c r="B180" s="75" t="s">
        <v>1310</v>
      </c>
      <c r="C180" s="73" t="s">
        <v>727</v>
      </c>
      <c r="D180" s="73" t="s">
        <v>538</v>
      </c>
      <c r="E180" s="73" t="s">
        <v>1016</v>
      </c>
      <c r="F180" s="73" t="s">
        <v>13</v>
      </c>
      <c r="G180" s="73" t="s">
        <v>1306</v>
      </c>
      <c r="H180" s="25">
        <v>39990</v>
      </c>
      <c r="I180" s="62">
        <v>0.2</v>
      </c>
      <c r="J180" s="25">
        <f>CEILING(H180*0.8,10)</f>
        <v>32000</v>
      </c>
    </row>
    <row r="181" spans="1:10" ht="20.100000000000001" customHeight="1" x14ac:dyDescent="0.25">
      <c r="A181" s="140" t="s">
        <v>74</v>
      </c>
      <c r="B181" s="141"/>
      <c r="C181" s="141"/>
      <c r="D181" s="141"/>
      <c r="E181" s="141"/>
      <c r="F181" s="141"/>
      <c r="G181" s="141"/>
      <c r="H181" s="141"/>
      <c r="I181" s="141"/>
      <c r="J181" s="141"/>
    </row>
    <row r="182" spans="1:10" ht="20.100000000000001" customHeight="1" x14ac:dyDescent="0.25">
      <c r="A182" s="135" t="s">
        <v>1676</v>
      </c>
      <c r="B182" s="136"/>
      <c r="C182" s="136"/>
      <c r="D182" s="136"/>
      <c r="E182" s="136"/>
      <c r="F182" s="136"/>
      <c r="G182" s="137"/>
      <c r="H182" s="25">
        <v>11990</v>
      </c>
      <c r="I182" s="62">
        <v>0</v>
      </c>
      <c r="J182" s="25">
        <f>H182</f>
        <v>11990</v>
      </c>
    </row>
    <row r="183" spans="1:10" ht="20.100000000000001" customHeight="1" x14ac:dyDescent="0.25">
      <c r="A183" s="135" t="s">
        <v>1019</v>
      </c>
      <c r="B183" s="136"/>
      <c r="C183" s="136"/>
      <c r="D183" s="136"/>
      <c r="E183" s="136"/>
      <c r="F183" s="136"/>
      <c r="G183" s="137"/>
      <c r="H183" s="25">
        <v>3990</v>
      </c>
      <c r="I183" s="62">
        <v>0</v>
      </c>
      <c r="J183" s="25">
        <f>H183</f>
        <v>3990</v>
      </c>
    </row>
    <row r="184" spans="1:10" ht="19.5" customHeight="1" x14ac:dyDescent="0.25">
      <c r="A184" s="131"/>
      <c r="B184" s="131"/>
      <c r="C184" s="131"/>
      <c r="D184" s="131"/>
      <c r="E184" s="131"/>
      <c r="F184" s="131"/>
      <c r="G184" s="131"/>
      <c r="H184" s="131"/>
      <c r="I184" s="131"/>
      <c r="J184" s="131"/>
    </row>
    <row r="185" spans="1:10" ht="39.950000000000003" customHeight="1" x14ac:dyDescent="0.25">
      <c r="A185" s="129" t="s">
        <v>1678</v>
      </c>
      <c r="B185" s="130"/>
      <c r="C185" s="130"/>
      <c r="D185" s="130"/>
      <c r="E185" s="130"/>
      <c r="F185" s="130"/>
      <c r="G185" s="130"/>
      <c r="H185" s="130"/>
      <c r="I185" s="130"/>
      <c r="J185" s="130"/>
    </row>
    <row r="186" spans="1:10" ht="30" x14ac:dyDescent="0.25">
      <c r="A186" s="73"/>
      <c r="B186" s="39" t="s">
        <v>2</v>
      </c>
      <c r="C186" s="4" t="s">
        <v>48</v>
      </c>
      <c r="D186" s="4" t="s">
        <v>49</v>
      </c>
      <c r="E186" s="39" t="s">
        <v>9</v>
      </c>
      <c r="F186" s="39" t="s">
        <v>10</v>
      </c>
      <c r="G186" s="4" t="s">
        <v>11</v>
      </c>
      <c r="H186" s="82" t="s">
        <v>17</v>
      </c>
      <c r="I186" s="82" t="s">
        <v>12</v>
      </c>
      <c r="J186" s="82" t="s">
        <v>18</v>
      </c>
    </row>
    <row r="187" spans="1:10" ht="39.950000000000003" customHeight="1" x14ac:dyDescent="0.25">
      <c r="A187" s="144"/>
      <c r="B187" s="75" t="s">
        <v>1312</v>
      </c>
      <c r="C187" s="73" t="s">
        <v>68</v>
      </c>
      <c r="D187" s="73" t="s">
        <v>244</v>
      </c>
      <c r="E187" s="73" t="s">
        <v>1311</v>
      </c>
      <c r="F187" s="73" t="s">
        <v>13</v>
      </c>
      <c r="G187" s="73" t="s">
        <v>1306</v>
      </c>
      <c r="H187" s="25">
        <v>27490</v>
      </c>
      <c r="I187" s="62">
        <v>0.2</v>
      </c>
      <c r="J187" s="25">
        <f>CEILING(H187*0.8,10)</f>
        <v>22000</v>
      </c>
    </row>
    <row r="188" spans="1:10" ht="39.950000000000003" customHeight="1" x14ac:dyDescent="0.25">
      <c r="A188" s="144"/>
      <c r="B188" s="75" t="s">
        <v>1313</v>
      </c>
      <c r="C188" s="73" t="s">
        <v>184</v>
      </c>
      <c r="D188" s="73" t="s">
        <v>187</v>
      </c>
      <c r="E188" s="73" t="s">
        <v>1311</v>
      </c>
      <c r="F188" s="73" t="s">
        <v>13</v>
      </c>
      <c r="G188" s="73" t="s">
        <v>1306</v>
      </c>
      <c r="H188" s="25">
        <v>27490</v>
      </c>
      <c r="I188" s="62">
        <v>0.2</v>
      </c>
      <c r="J188" s="25">
        <f>CEILING(H188*0.8,10)</f>
        <v>22000</v>
      </c>
    </row>
    <row r="189" spans="1:10" ht="39.950000000000003" customHeight="1" x14ac:dyDescent="0.25">
      <c r="A189" s="144"/>
      <c r="B189" s="75" t="s">
        <v>1314</v>
      </c>
      <c r="C189" s="73" t="s">
        <v>72</v>
      </c>
      <c r="D189" s="73" t="s">
        <v>539</v>
      </c>
      <c r="E189" s="73" t="s">
        <v>1311</v>
      </c>
      <c r="F189" s="73" t="s">
        <v>13</v>
      </c>
      <c r="G189" s="73" t="s">
        <v>1306</v>
      </c>
      <c r="H189" s="25">
        <v>27490</v>
      </c>
      <c r="I189" s="62">
        <v>0.2</v>
      </c>
      <c r="J189" s="25">
        <f>CEILING(H189*0.8,10)</f>
        <v>22000</v>
      </c>
    </row>
    <row r="190" spans="1:10" ht="20.100000000000001" customHeight="1" x14ac:dyDescent="0.25">
      <c r="A190" s="140" t="s">
        <v>74</v>
      </c>
      <c r="B190" s="141"/>
      <c r="C190" s="141"/>
      <c r="D190" s="141"/>
      <c r="E190" s="141"/>
      <c r="F190" s="141"/>
      <c r="G190" s="141"/>
      <c r="H190" s="141"/>
      <c r="I190" s="141"/>
      <c r="J190" s="141"/>
    </row>
    <row r="191" spans="1:10" ht="20.100000000000001" customHeight="1" x14ac:dyDescent="0.25">
      <c r="A191" s="135" t="s">
        <v>1676</v>
      </c>
      <c r="B191" s="136"/>
      <c r="C191" s="136"/>
      <c r="D191" s="136"/>
      <c r="E191" s="136"/>
      <c r="F191" s="136"/>
      <c r="G191" s="137"/>
      <c r="H191" s="25">
        <v>11990</v>
      </c>
      <c r="I191" s="62">
        <v>0</v>
      </c>
      <c r="J191" s="25">
        <f>H191</f>
        <v>11990</v>
      </c>
    </row>
    <row r="192" spans="1:10" ht="20.100000000000001" customHeight="1" x14ac:dyDescent="0.25">
      <c r="A192" s="135" t="s">
        <v>1019</v>
      </c>
      <c r="B192" s="136"/>
      <c r="C192" s="136"/>
      <c r="D192" s="136"/>
      <c r="E192" s="136"/>
      <c r="F192" s="136"/>
      <c r="G192" s="137"/>
      <c r="H192" s="25">
        <v>3990</v>
      </c>
      <c r="I192" s="62">
        <v>0</v>
      </c>
      <c r="J192" s="25">
        <f>H192</f>
        <v>3990</v>
      </c>
    </row>
    <row r="193" spans="1:10" ht="20.100000000000001" customHeight="1" x14ac:dyDescent="0.25">
      <c r="A193" s="131"/>
      <c r="B193" s="131"/>
      <c r="C193" s="131"/>
      <c r="D193" s="131"/>
      <c r="E193" s="131"/>
      <c r="F193" s="131"/>
      <c r="G193" s="131"/>
      <c r="H193" s="131"/>
      <c r="I193" s="131"/>
      <c r="J193" s="131"/>
    </row>
  </sheetData>
  <mergeCells count="98">
    <mergeCell ref="A51:G51"/>
    <mergeCell ref="A52:J52"/>
    <mergeCell ref="A7:J7"/>
    <mergeCell ref="A9:A13"/>
    <mergeCell ref="A14:J14"/>
    <mergeCell ref="A15:G15"/>
    <mergeCell ref="A16:G16"/>
    <mergeCell ref="A17:G17"/>
    <mergeCell ref="A18:G18"/>
    <mergeCell ref="A19:G19"/>
    <mergeCell ref="A20:G20"/>
    <mergeCell ref="A21:G21"/>
    <mergeCell ref="A22:J22"/>
    <mergeCell ref="A46:G46"/>
    <mergeCell ref="A47:G47"/>
    <mergeCell ref="A48:G48"/>
    <mergeCell ref="A49:G49"/>
    <mergeCell ref="A50:G50"/>
    <mergeCell ref="A25:A26"/>
    <mergeCell ref="A1:J1"/>
    <mergeCell ref="A4:J4"/>
    <mergeCell ref="A5:G5"/>
    <mergeCell ref="A6:J6"/>
    <mergeCell ref="A23:J23"/>
    <mergeCell ref="A70:J70"/>
    <mergeCell ref="A27:J27"/>
    <mergeCell ref="A28:G28"/>
    <mergeCell ref="A29:G29"/>
    <mergeCell ref="A30:G30"/>
    <mergeCell ref="A31:G31"/>
    <mergeCell ref="A32:G32"/>
    <mergeCell ref="A33:G33"/>
    <mergeCell ref="A34:G34"/>
    <mergeCell ref="A35:J35"/>
    <mergeCell ref="A53:J53"/>
    <mergeCell ref="A55:A69"/>
    <mergeCell ref="A36:J36"/>
    <mergeCell ref="A44:J44"/>
    <mergeCell ref="A38:A43"/>
    <mergeCell ref="A45:G45"/>
    <mergeCell ref="A97:J97"/>
    <mergeCell ref="A71:G71"/>
    <mergeCell ref="A72:G72"/>
    <mergeCell ref="A73:G73"/>
    <mergeCell ref="A74:G74"/>
    <mergeCell ref="A75:G75"/>
    <mergeCell ref="A76:G76"/>
    <mergeCell ref="A77:G77"/>
    <mergeCell ref="A78:G78"/>
    <mergeCell ref="A79:J79"/>
    <mergeCell ref="A80:J80"/>
    <mergeCell ref="A82:A96"/>
    <mergeCell ref="A122:J122"/>
    <mergeCell ref="A98:G98"/>
    <mergeCell ref="A99:G99"/>
    <mergeCell ref="A100:G100"/>
    <mergeCell ref="A101:J101"/>
    <mergeCell ref="A102:J102"/>
    <mergeCell ref="A117:J117"/>
    <mergeCell ref="A118:G118"/>
    <mergeCell ref="A119:G119"/>
    <mergeCell ref="A120:G120"/>
    <mergeCell ref="A121:J121"/>
    <mergeCell ref="A104:A116"/>
    <mergeCell ref="A157:J157"/>
    <mergeCell ref="A124:A135"/>
    <mergeCell ref="A136:J136"/>
    <mergeCell ref="A137:G137"/>
    <mergeCell ref="A138:G138"/>
    <mergeCell ref="A139:G139"/>
    <mergeCell ref="A140:G140"/>
    <mergeCell ref="A141:G141"/>
    <mergeCell ref="A142:G142"/>
    <mergeCell ref="A143:J143"/>
    <mergeCell ref="A144:J144"/>
    <mergeCell ref="A146:A156"/>
    <mergeCell ref="A177:A180"/>
    <mergeCell ref="A158:G158"/>
    <mergeCell ref="A159:G159"/>
    <mergeCell ref="A160:G160"/>
    <mergeCell ref="A161:J161"/>
    <mergeCell ref="A162:J162"/>
    <mergeCell ref="A164:A170"/>
    <mergeCell ref="A171:J171"/>
    <mergeCell ref="A172:G172"/>
    <mergeCell ref="A173:G173"/>
    <mergeCell ref="A174:J174"/>
    <mergeCell ref="A175:J175"/>
    <mergeCell ref="A190:J190"/>
    <mergeCell ref="A191:G191"/>
    <mergeCell ref="A192:G192"/>
    <mergeCell ref="A193:J193"/>
    <mergeCell ref="A181:J181"/>
    <mergeCell ref="A182:G182"/>
    <mergeCell ref="A183:G183"/>
    <mergeCell ref="A184:J184"/>
    <mergeCell ref="A185:J185"/>
    <mergeCell ref="A187:A189"/>
  </mergeCells>
  <hyperlinks>
    <hyperlink ref="B61" r:id="rId1"/>
    <hyperlink ref="B62" r:id="rId2"/>
    <hyperlink ref="B67" r:id="rId3"/>
    <hyperlink ref="B68" r:id="rId4"/>
    <hyperlink ref="B69" r:id="rId5"/>
    <hyperlink ref="B82" r:id="rId6" display="ВЛТЭ-150"/>
    <hyperlink ref="B83" r:id="rId7" display="ВЛТЭ-210"/>
    <hyperlink ref="B84" r:id="rId8" display="ВЛТЭ-310"/>
    <hyperlink ref="B87" r:id="rId9" display="ВЛТЭ-210/510"/>
    <hyperlink ref="B88" r:id="rId10"/>
    <hyperlink ref="B89" r:id="rId11"/>
    <hyperlink ref="B90" r:id="rId12"/>
    <hyperlink ref="B94" r:id="rId13"/>
    <hyperlink ref="B95" r:id="rId14"/>
    <hyperlink ref="B25" r:id="rId15"/>
    <hyperlink ref="B26" r:id="rId16"/>
    <hyperlink ref="B86" r:id="rId17"/>
    <hyperlink ref="B104" r:id="rId18"/>
    <hyperlink ref="B105" r:id="rId19"/>
    <hyperlink ref="B106" r:id="rId20"/>
    <hyperlink ref="B108" r:id="rId21"/>
    <hyperlink ref="B109" r:id="rId22"/>
    <hyperlink ref="B124" r:id="rId23"/>
    <hyperlink ref="B125" r:id="rId24"/>
    <hyperlink ref="B126" r:id="rId25"/>
    <hyperlink ref="B130" r:id="rId26"/>
    <hyperlink ref="B131" r:id="rId27"/>
    <hyperlink ref="B132" r:id="rId28"/>
    <hyperlink ref="B133" r:id="rId29"/>
    <hyperlink ref="B135" r:id="rId30"/>
    <hyperlink ref="B127" r:id="rId31"/>
    <hyperlink ref="B128" r:id="rId32"/>
    <hyperlink ref="B129" r:id="rId33"/>
    <hyperlink ref="B134" r:id="rId34"/>
    <hyperlink ref="B146" r:id="rId35"/>
    <hyperlink ref="B147" r:id="rId36"/>
    <hyperlink ref="B148" r:id="rId37"/>
    <hyperlink ref="B149" r:id="rId38"/>
    <hyperlink ref="B150" r:id="rId39"/>
    <hyperlink ref="B151" r:id="rId40"/>
    <hyperlink ref="B93" r:id="rId41"/>
    <hyperlink ref="B164" r:id="rId42"/>
    <hyperlink ref="B165" r:id="rId43"/>
    <hyperlink ref="B166" r:id="rId44"/>
    <hyperlink ref="B167" r:id="rId45"/>
    <hyperlink ref="B168" r:id="rId46"/>
    <hyperlink ref="B169" r:id="rId47"/>
    <hyperlink ref="B170" r:id="rId48"/>
    <hyperlink ref="B177" r:id="rId49"/>
    <hyperlink ref="B178" r:id="rId50"/>
    <hyperlink ref="B179" r:id="rId51"/>
    <hyperlink ref="B180" r:id="rId52"/>
    <hyperlink ref="B187" r:id="rId53"/>
    <hyperlink ref="B188" r:id="rId54"/>
    <hyperlink ref="B189" r:id="rId55"/>
    <hyperlink ref="B91" r:id="rId56"/>
    <hyperlink ref="B152" r:id="rId57"/>
    <hyperlink ref="B154" r:id="rId58"/>
    <hyperlink ref="B155" r:id="rId59"/>
    <hyperlink ref="B3" r:id="rId60"/>
    <hyperlink ref="B85" r:id="rId61"/>
    <hyperlink ref="B92" r:id="rId62"/>
    <hyperlink ref="B96" r:id="rId63"/>
    <hyperlink ref="B107" r:id="rId64"/>
    <hyperlink ref="B58" r:id="rId65"/>
    <hyperlink ref="B59" r:id="rId66"/>
    <hyperlink ref="B55" r:id="rId67"/>
    <hyperlink ref="B64" r:id="rId68"/>
    <hyperlink ref="B56" r:id="rId69"/>
    <hyperlink ref="B65" r:id="rId70"/>
    <hyperlink ref="B57" r:id="rId71"/>
    <hyperlink ref="B60" r:id="rId72"/>
    <hyperlink ref="B63" r:id="rId73"/>
    <hyperlink ref="B66" r:id="rId74"/>
    <hyperlink ref="B153" r:id="rId75"/>
    <hyperlink ref="B156" r:id="rId76"/>
    <hyperlink ref="B38" r:id="rId77"/>
    <hyperlink ref="B39" r:id="rId78"/>
    <hyperlink ref="B40" r:id="rId79"/>
    <hyperlink ref="B42" r:id="rId80"/>
    <hyperlink ref="B41" r:id="rId81"/>
    <hyperlink ref="B43" r:id="rId82"/>
    <hyperlink ref="B9" r:id="rId83"/>
    <hyperlink ref="B10" r:id="rId84"/>
    <hyperlink ref="B11" r:id="rId85"/>
    <hyperlink ref="B12" r:id="rId86"/>
    <hyperlink ref="B13" r:id="rId87" display="http://skyves.ru/element/2467"/>
    <hyperlink ref="B110" r:id="rId88"/>
    <hyperlink ref="B111" r:id="rId89"/>
    <hyperlink ref="B112" r:id="rId90"/>
    <hyperlink ref="B113" r:id="rId91"/>
    <hyperlink ref="B114" r:id="rId92"/>
    <hyperlink ref="B115" r:id="rId93"/>
    <hyperlink ref="B116" r:id="rId94"/>
  </hyperlinks>
  <pageMargins left="0.7" right="0.7" top="0.75" bottom="0.75" header="0.3" footer="0.3"/>
  <pageSetup paperSize="9" orientation="portrait" r:id="rId95"/>
  <drawing r:id="rId9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9"/>
  <sheetViews>
    <sheetView tabSelected="1" zoomScale="90" zoomScaleNormal="90" workbookViewId="0">
      <selection activeCell="H180" sqref="H180"/>
    </sheetView>
  </sheetViews>
  <sheetFormatPr defaultRowHeight="13.5" x14ac:dyDescent="0.25"/>
  <cols>
    <col min="1" max="1" width="23.28515625" style="1" customWidth="1"/>
    <col min="2" max="2" width="19.2851562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1696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5"/>
      <c r="B2" s="3" t="s">
        <v>2</v>
      </c>
      <c r="C2" s="4" t="s">
        <v>48</v>
      </c>
      <c r="D2" s="4" t="s">
        <v>49</v>
      </c>
      <c r="E2" s="3" t="s">
        <v>9</v>
      </c>
      <c r="F2" s="3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s="94" customFormat="1" ht="24.95" customHeight="1" x14ac:dyDescent="0.25">
      <c r="A3" s="119"/>
      <c r="B3" s="32" t="s">
        <v>347</v>
      </c>
      <c r="C3" s="93" t="s">
        <v>233</v>
      </c>
      <c r="D3" s="93" t="s">
        <v>219</v>
      </c>
      <c r="E3" s="93" t="s">
        <v>31</v>
      </c>
      <c r="F3" s="93" t="s">
        <v>13</v>
      </c>
      <c r="G3" s="15" t="s">
        <v>237</v>
      </c>
      <c r="H3" s="98">
        <v>18760</v>
      </c>
      <c r="I3" s="92" t="s">
        <v>1679</v>
      </c>
      <c r="J3" s="91">
        <v>15000</v>
      </c>
    </row>
    <row r="4" spans="1:10" s="94" customFormat="1" ht="24.95" customHeight="1" x14ac:dyDescent="0.25">
      <c r="A4" s="119"/>
      <c r="B4" s="32" t="s">
        <v>348</v>
      </c>
      <c r="C4" s="93" t="s">
        <v>234</v>
      </c>
      <c r="D4" s="93" t="s">
        <v>55</v>
      </c>
      <c r="E4" s="93" t="s">
        <v>31</v>
      </c>
      <c r="F4" s="93" t="s">
        <v>13</v>
      </c>
      <c r="G4" s="15" t="s">
        <v>237</v>
      </c>
      <c r="H4" s="98">
        <v>18760</v>
      </c>
      <c r="I4" s="92" t="s">
        <v>1679</v>
      </c>
      <c r="J4" s="91">
        <v>15000</v>
      </c>
    </row>
    <row r="5" spans="1:10" s="94" customFormat="1" ht="24.95" customHeight="1" x14ac:dyDescent="0.25">
      <c r="A5" s="119"/>
      <c r="B5" s="32" t="s">
        <v>349</v>
      </c>
      <c r="C5" s="93" t="s">
        <v>186</v>
      </c>
      <c r="D5" s="93" t="s">
        <v>220</v>
      </c>
      <c r="E5" s="93" t="s">
        <v>31</v>
      </c>
      <c r="F5" s="93" t="s">
        <v>13</v>
      </c>
      <c r="G5" s="15" t="s">
        <v>356</v>
      </c>
      <c r="H5" s="98">
        <v>18760</v>
      </c>
      <c r="I5" s="92" t="s">
        <v>1679</v>
      </c>
      <c r="J5" s="91">
        <v>15000</v>
      </c>
    </row>
    <row r="6" spans="1:10" s="94" customFormat="1" ht="24.95" customHeight="1" x14ac:dyDescent="0.25">
      <c r="A6" s="119"/>
      <c r="B6" s="32" t="s">
        <v>350</v>
      </c>
      <c r="C6" s="93" t="s">
        <v>235</v>
      </c>
      <c r="D6" s="93" t="s">
        <v>221</v>
      </c>
      <c r="E6" s="93" t="s">
        <v>31</v>
      </c>
      <c r="F6" s="93" t="s">
        <v>13</v>
      </c>
      <c r="G6" s="15" t="s">
        <v>356</v>
      </c>
      <c r="H6" s="98">
        <v>18760</v>
      </c>
      <c r="I6" s="92" t="s">
        <v>1679</v>
      </c>
      <c r="J6" s="91">
        <v>15000</v>
      </c>
    </row>
    <row r="7" spans="1:10" s="94" customFormat="1" ht="24.95" customHeight="1" x14ac:dyDescent="0.25">
      <c r="A7" s="119"/>
      <c r="B7" s="32" t="s">
        <v>351</v>
      </c>
      <c r="C7" s="93" t="s">
        <v>232</v>
      </c>
      <c r="D7" s="93" t="s">
        <v>219</v>
      </c>
      <c r="E7" s="93" t="s">
        <v>31</v>
      </c>
      <c r="F7" s="93" t="s">
        <v>13</v>
      </c>
      <c r="G7" s="15" t="s">
        <v>237</v>
      </c>
      <c r="H7" s="98">
        <v>16760</v>
      </c>
      <c r="I7" s="92" t="s">
        <v>1679</v>
      </c>
      <c r="J7" s="91">
        <v>13400</v>
      </c>
    </row>
    <row r="8" spans="1:10" s="94" customFormat="1" ht="24.95" customHeight="1" x14ac:dyDescent="0.25">
      <c r="A8" s="119"/>
      <c r="B8" s="32" t="s">
        <v>352</v>
      </c>
      <c r="C8" s="93" t="s">
        <v>233</v>
      </c>
      <c r="D8" s="93" t="s">
        <v>55</v>
      </c>
      <c r="E8" s="93" t="s">
        <v>31</v>
      </c>
      <c r="F8" s="93" t="s">
        <v>13</v>
      </c>
      <c r="G8" s="15" t="s">
        <v>237</v>
      </c>
      <c r="H8" s="98">
        <v>16760</v>
      </c>
      <c r="I8" s="92" t="s">
        <v>1679</v>
      </c>
      <c r="J8" s="91">
        <v>13400</v>
      </c>
    </row>
    <row r="9" spans="1:10" s="94" customFormat="1" ht="24.95" customHeight="1" x14ac:dyDescent="0.25">
      <c r="A9" s="119"/>
      <c r="B9" s="32" t="s">
        <v>353</v>
      </c>
      <c r="C9" s="93" t="s">
        <v>234</v>
      </c>
      <c r="D9" s="93" t="s">
        <v>220</v>
      </c>
      <c r="E9" s="93" t="s">
        <v>31</v>
      </c>
      <c r="F9" s="93" t="s">
        <v>13</v>
      </c>
      <c r="G9" s="15" t="s">
        <v>237</v>
      </c>
      <c r="H9" s="98">
        <v>16760</v>
      </c>
      <c r="I9" s="92" t="s">
        <v>1679</v>
      </c>
      <c r="J9" s="91">
        <v>13400</v>
      </c>
    </row>
    <row r="10" spans="1:10" s="94" customFormat="1" ht="24.95" customHeight="1" x14ac:dyDescent="0.25">
      <c r="A10" s="119"/>
      <c r="B10" s="32" t="s">
        <v>354</v>
      </c>
      <c r="C10" s="93" t="s">
        <v>186</v>
      </c>
      <c r="D10" s="93" t="s">
        <v>221</v>
      </c>
      <c r="E10" s="93" t="s">
        <v>31</v>
      </c>
      <c r="F10" s="93" t="s">
        <v>13</v>
      </c>
      <c r="G10" s="15" t="s">
        <v>356</v>
      </c>
      <c r="H10" s="98">
        <v>16760</v>
      </c>
      <c r="I10" s="92" t="s">
        <v>1679</v>
      </c>
      <c r="J10" s="91">
        <v>13400</v>
      </c>
    </row>
    <row r="11" spans="1:10" s="94" customFormat="1" ht="24.95" customHeight="1" x14ac:dyDescent="0.25">
      <c r="A11" s="119"/>
      <c r="B11" s="32" t="s">
        <v>355</v>
      </c>
      <c r="C11" s="93" t="s">
        <v>235</v>
      </c>
      <c r="D11" s="93" t="s">
        <v>56</v>
      </c>
      <c r="E11" s="93" t="s">
        <v>31</v>
      </c>
      <c r="F11" s="93" t="s">
        <v>13</v>
      </c>
      <c r="G11" s="15" t="s">
        <v>356</v>
      </c>
      <c r="H11" s="98">
        <v>16760</v>
      </c>
      <c r="I11" s="92" t="s">
        <v>1679</v>
      </c>
      <c r="J11" s="91">
        <v>13400</v>
      </c>
    </row>
    <row r="12" spans="1:10" ht="20.100000000000001" customHeight="1" x14ac:dyDescent="0.25">
      <c r="A12" s="131"/>
      <c r="B12" s="131"/>
      <c r="C12" s="131"/>
      <c r="D12" s="131"/>
      <c r="E12" s="131"/>
      <c r="F12" s="131"/>
      <c r="G12" s="131"/>
      <c r="H12" s="131"/>
      <c r="I12" s="131"/>
      <c r="J12" s="131"/>
    </row>
    <row r="13" spans="1:10" ht="192" customHeight="1" x14ac:dyDescent="0.25">
      <c r="A13" s="117" t="s">
        <v>1697</v>
      </c>
      <c r="B13" s="118"/>
      <c r="C13" s="118"/>
      <c r="D13" s="118"/>
      <c r="E13" s="118"/>
      <c r="F13" s="118"/>
      <c r="G13" s="118"/>
      <c r="H13" s="118"/>
      <c r="I13" s="118"/>
      <c r="J13" s="118"/>
    </row>
    <row r="14" spans="1:10" ht="30" customHeight="1" x14ac:dyDescent="0.25">
      <c r="A14" s="5"/>
      <c r="B14" s="39" t="s">
        <v>2</v>
      </c>
      <c r="C14" s="4" t="s">
        <v>48</v>
      </c>
      <c r="D14" s="4" t="s">
        <v>49</v>
      </c>
      <c r="E14" s="3" t="s">
        <v>9</v>
      </c>
      <c r="F14" s="3" t="s">
        <v>10</v>
      </c>
      <c r="G14" s="4" t="s">
        <v>11</v>
      </c>
      <c r="H14" s="4" t="s">
        <v>17</v>
      </c>
      <c r="I14" s="4" t="s">
        <v>12</v>
      </c>
      <c r="J14" s="4" t="s">
        <v>18</v>
      </c>
    </row>
    <row r="15" spans="1:10" s="94" customFormat="1" ht="20.100000000000001" customHeight="1" x14ac:dyDescent="0.25">
      <c r="A15" s="119"/>
      <c r="B15" s="99" t="s">
        <v>357</v>
      </c>
      <c r="C15" s="93" t="s">
        <v>369</v>
      </c>
      <c r="D15" s="93" t="s">
        <v>265</v>
      </c>
      <c r="E15" s="93" t="s">
        <v>273</v>
      </c>
      <c r="F15" s="93" t="s">
        <v>13</v>
      </c>
      <c r="G15" s="15" t="s">
        <v>371</v>
      </c>
      <c r="H15" s="98">
        <v>6680</v>
      </c>
      <c r="I15" s="92" t="s">
        <v>1679</v>
      </c>
      <c r="J15" s="91">
        <v>5300</v>
      </c>
    </row>
    <row r="16" spans="1:10" s="94" customFormat="1" ht="20.100000000000001" customHeight="1" x14ac:dyDescent="0.25">
      <c r="A16" s="119"/>
      <c r="B16" s="99" t="s">
        <v>358</v>
      </c>
      <c r="C16" s="93" t="s">
        <v>263</v>
      </c>
      <c r="D16" s="93" t="s">
        <v>266</v>
      </c>
      <c r="E16" s="93" t="s">
        <v>273</v>
      </c>
      <c r="F16" s="93" t="s">
        <v>13</v>
      </c>
      <c r="G16" s="15" t="s">
        <v>371</v>
      </c>
      <c r="H16" s="98">
        <v>6680</v>
      </c>
      <c r="I16" s="92" t="s">
        <v>1679</v>
      </c>
      <c r="J16" s="91">
        <v>5300</v>
      </c>
    </row>
    <row r="17" spans="1:10" s="94" customFormat="1" ht="20.100000000000001" customHeight="1" x14ac:dyDescent="0.25">
      <c r="A17" s="119"/>
      <c r="B17" s="99" t="s">
        <v>359</v>
      </c>
      <c r="C17" s="93" t="s">
        <v>262</v>
      </c>
      <c r="D17" s="93" t="s">
        <v>267</v>
      </c>
      <c r="E17" s="93" t="s">
        <v>273</v>
      </c>
      <c r="F17" s="93" t="s">
        <v>13</v>
      </c>
      <c r="G17" s="15" t="s">
        <v>371</v>
      </c>
      <c r="H17" s="98">
        <v>6680</v>
      </c>
      <c r="I17" s="92" t="s">
        <v>1679</v>
      </c>
      <c r="J17" s="91">
        <v>5300</v>
      </c>
    </row>
    <row r="18" spans="1:10" s="94" customFormat="1" ht="20.100000000000001" customHeight="1" x14ac:dyDescent="0.25">
      <c r="A18" s="119"/>
      <c r="B18" s="99" t="s">
        <v>360</v>
      </c>
      <c r="C18" s="93" t="s">
        <v>370</v>
      </c>
      <c r="D18" s="93" t="s">
        <v>268</v>
      </c>
      <c r="E18" s="93" t="s">
        <v>273</v>
      </c>
      <c r="F18" s="93" t="s">
        <v>13</v>
      </c>
      <c r="G18" s="15" t="s">
        <v>371</v>
      </c>
      <c r="H18" s="98">
        <v>6680</v>
      </c>
      <c r="I18" s="92" t="s">
        <v>1679</v>
      </c>
      <c r="J18" s="91">
        <v>5300</v>
      </c>
    </row>
    <row r="19" spans="1:10" s="94" customFormat="1" ht="20.100000000000001" customHeight="1" x14ac:dyDescent="0.25">
      <c r="A19" s="119"/>
      <c r="B19" s="32" t="s">
        <v>361</v>
      </c>
      <c r="C19" s="93" t="s">
        <v>369</v>
      </c>
      <c r="D19" s="93" t="s">
        <v>265</v>
      </c>
      <c r="E19" s="93" t="s">
        <v>273</v>
      </c>
      <c r="F19" s="93" t="s">
        <v>13</v>
      </c>
      <c r="G19" s="15" t="s">
        <v>371</v>
      </c>
      <c r="H19" s="98">
        <v>7950</v>
      </c>
      <c r="I19" s="92" t="s">
        <v>1679</v>
      </c>
      <c r="J19" s="91">
        <v>6300</v>
      </c>
    </row>
    <row r="20" spans="1:10" s="94" customFormat="1" ht="20.100000000000001" customHeight="1" x14ac:dyDescent="0.25">
      <c r="A20" s="119"/>
      <c r="B20" s="32" t="s">
        <v>362</v>
      </c>
      <c r="C20" s="93" t="s">
        <v>263</v>
      </c>
      <c r="D20" s="93" t="s">
        <v>266</v>
      </c>
      <c r="E20" s="93" t="s">
        <v>273</v>
      </c>
      <c r="F20" s="93" t="s">
        <v>13</v>
      </c>
      <c r="G20" s="15" t="s">
        <v>371</v>
      </c>
      <c r="H20" s="98">
        <v>7950</v>
      </c>
      <c r="I20" s="92" t="s">
        <v>1679</v>
      </c>
      <c r="J20" s="91">
        <v>6300</v>
      </c>
    </row>
    <row r="21" spans="1:10" s="94" customFormat="1" ht="20.100000000000001" customHeight="1" x14ac:dyDescent="0.25">
      <c r="A21" s="119"/>
      <c r="B21" s="32" t="s">
        <v>363</v>
      </c>
      <c r="C21" s="93" t="s">
        <v>262</v>
      </c>
      <c r="D21" s="93" t="s">
        <v>267</v>
      </c>
      <c r="E21" s="93" t="s">
        <v>273</v>
      </c>
      <c r="F21" s="93" t="s">
        <v>13</v>
      </c>
      <c r="G21" s="15" t="s">
        <v>371</v>
      </c>
      <c r="H21" s="98">
        <v>7950</v>
      </c>
      <c r="I21" s="92" t="s">
        <v>1679</v>
      </c>
      <c r="J21" s="91">
        <v>6300</v>
      </c>
    </row>
    <row r="22" spans="1:10" s="94" customFormat="1" ht="20.100000000000001" customHeight="1" x14ac:dyDescent="0.25">
      <c r="A22" s="119"/>
      <c r="B22" s="32" t="s">
        <v>364</v>
      </c>
      <c r="C22" s="93" t="s">
        <v>370</v>
      </c>
      <c r="D22" s="93" t="s">
        <v>268</v>
      </c>
      <c r="E22" s="93" t="s">
        <v>273</v>
      </c>
      <c r="F22" s="93" t="s">
        <v>13</v>
      </c>
      <c r="G22" s="15" t="s">
        <v>371</v>
      </c>
      <c r="H22" s="98">
        <v>7950</v>
      </c>
      <c r="I22" s="92" t="s">
        <v>1679</v>
      </c>
      <c r="J22" s="91">
        <v>6300</v>
      </c>
    </row>
    <row r="23" spans="1:10" s="94" customFormat="1" ht="20.100000000000001" customHeight="1" x14ac:dyDescent="0.25">
      <c r="A23" s="119"/>
      <c r="B23" s="32" t="s">
        <v>365</v>
      </c>
      <c r="C23" s="93" t="s">
        <v>369</v>
      </c>
      <c r="D23" s="93" t="s">
        <v>265</v>
      </c>
      <c r="E23" s="93" t="s">
        <v>273</v>
      </c>
      <c r="F23" s="93" t="s">
        <v>13</v>
      </c>
      <c r="G23" s="15" t="s">
        <v>371</v>
      </c>
      <c r="H23" s="98">
        <v>8370</v>
      </c>
      <c r="I23" s="92" t="s">
        <v>1679</v>
      </c>
      <c r="J23" s="91">
        <v>6700</v>
      </c>
    </row>
    <row r="24" spans="1:10" s="94" customFormat="1" ht="20.100000000000001" customHeight="1" x14ac:dyDescent="0.25">
      <c r="A24" s="119"/>
      <c r="B24" s="32" t="s">
        <v>366</v>
      </c>
      <c r="C24" s="93" t="s">
        <v>263</v>
      </c>
      <c r="D24" s="93" t="s">
        <v>266</v>
      </c>
      <c r="E24" s="93" t="s">
        <v>273</v>
      </c>
      <c r="F24" s="93" t="s">
        <v>13</v>
      </c>
      <c r="G24" s="15" t="s">
        <v>371</v>
      </c>
      <c r="H24" s="98">
        <v>8370</v>
      </c>
      <c r="I24" s="92" t="s">
        <v>1679</v>
      </c>
      <c r="J24" s="91">
        <v>6700</v>
      </c>
    </row>
    <row r="25" spans="1:10" s="94" customFormat="1" ht="20.100000000000001" customHeight="1" x14ac:dyDescent="0.25">
      <c r="A25" s="119"/>
      <c r="B25" s="32" t="s">
        <v>367</v>
      </c>
      <c r="C25" s="93" t="s">
        <v>262</v>
      </c>
      <c r="D25" s="93" t="s">
        <v>267</v>
      </c>
      <c r="E25" s="93" t="s">
        <v>273</v>
      </c>
      <c r="F25" s="93" t="s">
        <v>13</v>
      </c>
      <c r="G25" s="15" t="s">
        <v>371</v>
      </c>
      <c r="H25" s="98">
        <v>8370</v>
      </c>
      <c r="I25" s="92" t="s">
        <v>1679</v>
      </c>
      <c r="J25" s="91">
        <v>6700</v>
      </c>
    </row>
    <row r="26" spans="1:10" s="94" customFormat="1" ht="20.100000000000001" customHeight="1" x14ac:dyDescent="0.25">
      <c r="A26" s="119"/>
      <c r="B26" s="32" t="s">
        <v>368</v>
      </c>
      <c r="C26" s="93" t="s">
        <v>370</v>
      </c>
      <c r="D26" s="93" t="s">
        <v>268</v>
      </c>
      <c r="E26" s="93" t="s">
        <v>273</v>
      </c>
      <c r="F26" s="93" t="s">
        <v>13</v>
      </c>
      <c r="G26" s="15" t="s">
        <v>371</v>
      </c>
      <c r="H26" s="98">
        <v>8370</v>
      </c>
      <c r="I26" s="92" t="s">
        <v>1679</v>
      </c>
      <c r="J26" s="91">
        <v>6700</v>
      </c>
    </row>
    <row r="27" spans="1:10" s="94" customFormat="1" ht="20.100000000000001" customHeight="1" x14ac:dyDescent="0.25">
      <c r="A27" s="119"/>
      <c r="B27" s="100" t="s">
        <v>1698</v>
      </c>
      <c r="C27" s="93" t="s">
        <v>369</v>
      </c>
      <c r="D27" s="93" t="s">
        <v>265</v>
      </c>
      <c r="E27" s="93" t="s">
        <v>273</v>
      </c>
      <c r="F27" s="93" t="s">
        <v>13</v>
      </c>
      <c r="G27" s="15" t="s">
        <v>371</v>
      </c>
      <c r="H27" s="98">
        <v>8880</v>
      </c>
      <c r="I27" s="92" t="s">
        <v>1679</v>
      </c>
      <c r="J27" s="91">
        <v>7100</v>
      </c>
    </row>
    <row r="28" spans="1:10" s="94" customFormat="1" ht="20.100000000000001" customHeight="1" x14ac:dyDescent="0.25">
      <c r="A28" s="119"/>
      <c r="B28" s="100" t="s">
        <v>1699</v>
      </c>
      <c r="C28" s="93" t="s">
        <v>263</v>
      </c>
      <c r="D28" s="93" t="s">
        <v>266</v>
      </c>
      <c r="E28" s="93" t="s">
        <v>273</v>
      </c>
      <c r="F28" s="93" t="s">
        <v>13</v>
      </c>
      <c r="G28" s="15" t="s">
        <v>371</v>
      </c>
      <c r="H28" s="98">
        <v>8880</v>
      </c>
      <c r="I28" s="92" t="s">
        <v>1679</v>
      </c>
      <c r="J28" s="91">
        <v>7100</v>
      </c>
    </row>
    <row r="29" spans="1:10" s="94" customFormat="1" ht="20.100000000000001" customHeight="1" x14ac:dyDescent="0.25">
      <c r="A29" s="119"/>
      <c r="B29" s="100" t="s">
        <v>1700</v>
      </c>
      <c r="C29" s="93" t="s">
        <v>262</v>
      </c>
      <c r="D29" s="93" t="s">
        <v>267</v>
      </c>
      <c r="E29" s="93" t="s">
        <v>273</v>
      </c>
      <c r="F29" s="93" t="s">
        <v>13</v>
      </c>
      <c r="G29" s="15" t="s">
        <v>371</v>
      </c>
      <c r="H29" s="98">
        <v>8880</v>
      </c>
      <c r="I29" s="92" t="s">
        <v>1679</v>
      </c>
      <c r="J29" s="91">
        <v>7100</v>
      </c>
    </row>
    <row r="30" spans="1:10" s="94" customFormat="1" ht="20.100000000000001" customHeight="1" x14ac:dyDescent="0.25">
      <c r="A30" s="119"/>
      <c r="B30" s="100" t="s">
        <v>1701</v>
      </c>
      <c r="C30" s="93" t="s">
        <v>370</v>
      </c>
      <c r="D30" s="93" t="s">
        <v>268</v>
      </c>
      <c r="E30" s="93" t="s">
        <v>273</v>
      </c>
      <c r="F30" s="93" t="s">
        <v>13</v>
      </c>
      <c r="G30" s="15" t="s">
        <v>371</v>
      </c>
      <c r="H30" s="98">
        <v>8880</v>
      </c>
      <c r="I30" s="92" t="s">
        <v>1679</v>
      </c>
      <c r="J30" s="91">
        <v>7100</v>
      </c>
    </row>
    <row r="31" spans="1:10" s="94" customFormat="1" ht="20.100000000000001" customHeight="1" x14ac:dyDescent="0.25">
      <c r="A31" s="119"/>
      <c r="B31" s="100" t="s">
        <v>1702</v>
      </c>
      <c r="C31" s="93" t="s">
        <v>369</v>
      </c>
      <c r="D31" s="93" t="s">
        <v>265</v>
      </c>
      <c r="E31" s="93" t="s">
        <v>273</v>
      </c>
      <c r="F31" s="93" t="s">
        <v>13</v>
      </c>
      <c r="G31" s="15" t="s">
        <v>371</v>
      </c>
      <c r="H31" s="98">
        <v>9200</v>
      </c>
      <c r="I31" s="92" t="s">
        <v>1679</v>
      </c>
      <c r="J31" s="91">
        <v>7300</v>
      </c>
    </row>
    <row r="32" spans="1:10" s="94" customFormat="1" ht="20.100000000000001" customHeight="1" x14ac:dyDescent="0.25">
      <c r="A32" s="119"/>
      <c r="B32" s="100" t="s">
        <v>1703</v>
      </c>
      <c r="C32" s="93" t="s">
        <v>263</v>
      </c>
      <c r="D32" s="93" t="s">
        <v>266</v>
      </c>
      <c r="E32" s="93" t="s">
        <v>273</v>
      </c>
      <c r="F32" s="93" t="s">
        <v>13</v>
      </c>
      <c r="G32" s="15" t="s">
        <v>371</v>
      </c>
      <c r="H32" s="98">
        <v>9200</v>
      </c>
      <c r="I32" s="92" t="s">
        <v>1679</v>
      </c>
      <c r="J32" s="91">
        <v>7300</v>
      </c>
    </row>
    <row r="33" spans="1:10" s="94" customFormat="1" ht="20.100000000000001" customHeight="1" x14ac:dyDescent="0.25">
      <c r="A33" s="119"/>
      <c r="B33" s="100" t="s">
        <v>1704</v>
      </c>
      <c r="C33" s="93" t="s">
        <v>262</v>
      </c>
      <c r="D33" s="93" t="s">
        <v>267</v>
      </c>
      <c r="E33" s="93" t="s">
        <v>273</v>
      </c>
      <c r="F33" s="93" t="s">
        <v>13</v>
      </c>
      <c r="G33" s="15" t="s">
        <v>371</v>
      </c>
      <c r="H33" s="98">
        <v>9200</v>
      </c>
      <c r="I33" s="92" t="s">
        <v>1679</v>
      </c>
      <c r="J33" s="91">
        <v>7300</v>
      </c>
    </row>
    <row r="34" spans="1:10" s="94" customFormat="1" ht="20.100000000000001" customHeight="1" x14ac:dyDescent="0.25">
      <c r="A34" s="119"/>
      <c r="B34" s="100" t="s">
        <v>1705</v>
      </c>
      <c r="C34" s="93" t="s">
        <v>370</v>
      </c>
      <c r="D34" s="93" t="s">
        <v>268</v>
      </c>
      <c r="E34" s="93" t="s">
        <v>273</v>
      </c>
      <c r="F34" s="93" t="s">
        <v>13</v>
      </c>
      <c r="G34" s="15" t="s">
        <v>371</v>
      </c>
      <c r="H34" s="98">
        <v>9200</v>
      </c>
      <c r="I34" s="92" t="s">
        <v>1679</v>
      </c>
      <c r="J34" s="91">
        <v>7300</v>
      </c>
    </row>
    <row r="35" spans="1:10" s="94" customFormat="1" ht="20.100000000000001" customHeight="1" x14ac:dyDescent="0.25">
      <c r="A35" s="119"/>
      <c r="B35" s="100" t="s">
        <v>1706</v>
      </c>
      <c r="C35" s="93" t="s">
        <v>369</v>
      </c>
      <c r="D35" s="93" t="s">
        <v>265</v>
      </c>
      <c r="E35" s="93" t="s">
        <v>273</v>
      </c>
      <c r="F35" s="93" t="s">
        <v>13</v>
      </c>
      <c r="G35" s="15" t="s">
        <v>371</v>
      </c>
      <c r="H35" s="98">
        <v>8670</v>
      </c>
      <c r="I35" s="92" t="s">
        <v>1679</v>
      </c>
      <c r="J35" s="91">
        <v>6900</v>
      </c>
    </row>
    <row r="36" spans="1:10" s="94" customFormat="1" ht="20.100000000000001" customHeight="1" x14ac:dyDescent="0.25">
      <c r="A36" s="119"/>
      <c r="B36" s="100" t="s">
        <v>1707</v>
      </c>
      <c r="C36" s="93" t="s">
        <v>263</v>
      </c>
      <c r="D36" s="93" t="s">
        <v>266</v>
      </c>
      <c r="E36" s="93" t="s">
        <v>273</v>
      </c>
      <c r="F36" s="93" t="s">
        <v>13</v>
      </c>
      <c r="G36" s="15" t="s">
        <v>371</v>
      </c>
      <c r="H36" s="98">
        <v>8670</v>
      </c>
      <c r="I36" s="92" t="s">
        <v>1679</v>
      </c>
      <c r="J36" s="91">
        <v>6900</v>
      </c>
    </row>
    <row r="37" spans="1:10" s="94" customFormat="1" ht="20.100000000000001" customHeight="1" x14ac:dyDescent="0.25">
      <c r="A37" s="119"/>
      <c r="B37" s="100" t="s">
        <v>1708</v>
      </c>
      <c r="C37" s="93" t="s">
        <v>262</v>
      </c>
      <c r="D37" s="93" t="s">
        <v>267</v>
      </c>
      <c r="E37" s="93" t="s">
        <v>273</v>
      </c>
      <c r="F37" s="93" t="s">
        <v>13</v>
      </c>
      <c r="G37" s="15" t="s">
        <v>371</v>
      </c>
      <c r="H37" s="98">
        <v>8670</v>
      </c>
      <c r="I37" s="92" t="s">
        <v>1679</v>
      </c>
      <c r="J37" s="91">
        <v>6900</v>
      </c>
    </row>
    <row r="38" spans="1:10" s="94" customFormat="1" ht="20.100000000000001" customHeight="1" x14ac:dyDescent="0.25">
      <c r="A38" s="119"/>
      <c r="B38" s="100" t="s">
        <v>1709</v>
      </c>
      <c r="C38" s="93" t="s">
        <v>370</v>
      </c>
      <c r="D38" s="93" t="s">
        <v>268</v>
      </c>
      <c r="E38" s="93" t="s">
        <v>273</v>
      </c>
      <c r="F38" s="93" t="s">
        <v>13</v>
      </c>
      <c r="G38" s="15" t="s">
        <v>371</v>
      </c>
      <c r="H38" s="98">
        <v>8670</v>
      </c>
      <c r="I38" s="92" t="s">
        <v>1679</v>
      </c>
      <c r="J38" s="91">
        <v>6900</v>
      </c>
    </row>
    <row r="39" spans="1:10" s="94" customFormat="1" ht="20.100000000000001" customHeight="1" x14ac:dyDescent="0.25">
      <c r="A39" s="119"/>
      <c r="B39" s="100" t="s">
        <v>1710</v>
      </c>
      <c r="C39" s="93" t="s">
        <v>369</v>
      </c>
      <c r="D39" s="93" t="s">
        <v>265</v>
      </c>
      <c r="E39" s="93" t="s">
        <v>273</v>
      </c>
      <c r="F39" s="93" t="s">
        <v>13</v>
      </c>
      <c r="G39" s="15" t="s">
        <v>371</v>
      </c>
      <c r="H39" s="98">
        <v>8770</v>
      </c>
      <c r="I39" s="92" t="s">
        <v>1679</v>
      </c>
      <c r="J39" s="91">
        <v>7000</v>
      </c>
    </row>
    <row r="40" spans="1:10" s="94" customFormat="1" ht="20.100000000000001" customHeight="1" x14ac:dyDescent="0.25">
      <c r="A40" s="119"/>
      <c r="B40" s="100" t="s">
        <v>1711</v>
      </c>
      <c r="C40" s="93" t="s">
        <v>263</v>
      </c>
      <c r="D40" s="93" t="s">
        <v>266</v>
      </c>
      <c r="E40" s="93" t="s">
        <v>273</v>
      </c>
      <c r="F40" s="93" t="s">
        <v>13</v>
      </c>
      <c r="G40" s="15" t="s">
        <v>371</v>
      </c>
      <c r="H40" s="98">
        <v>8770</v>
      </c>
      <c r="I40" s="92" t="s">
        <v>1679</v>
      </c>
      <c r="J40" s="91">
        <v>7000</v>
      </c>
    </row>
    <row r="41" spans="1:10" s="94" customFormat="1" ht="20.100000000000001" customHeight="1" x14ac:dyDescent="0.25">
      <c r="A41" s="119"/>
      <c r="B41" s="100" t="s">
        <v>1712</v>
      </c>
      <c r="C41" s="93" t="s">
        <v>262</v>
      </c>
      <c r="D41" s="93" t="s">
        <v>267</v>
      </c>
      <c r="E41" s="93" t="s">
        <v>273</v>
      </c>
      <c r="F41" s="93" t="s">
        <v>13</v>
      </c>
      <c r="G41" s="15" t="s">
        <v>371</v>
      </c>
      <c r="H41" s="98">
        <v>8770</v>
      </c>
      <c r="I41" s="92" t="s">
        <v>1679</v>
      </c>
      <c r="J41" s="91">
        <v>7000</v>
      </c>
    </row>
    <row r="42" spans="1:10" s="94" customFormat="1" ht="20.100000000000001" customHeight="1" x14ac:dyDescent="0.25">
      <c r="A42" s="119"/>
      <c r="B42" s="100" t="s">
        <v>1713</v>
      </c>
      <c r="C42" s="93" t="s">
        <v>370</v>
      </c>
      <c r="D42" s="93" t="s">
        <v>268</v>
      </c>
      <c r="E42" s="93" t="s">
        <v>273</v>
      </c>
      <c r="F42" s="93" t="s">
        <v>13</v>
      </c>
      <c r="G42" s="15" t="s">
        <v>371</v>
      </c>
      <c r="H42" s="98">
        <v>8770</v>
      </c>
      <c r="I42" s="92" t="s">
        <v>1679</v>
      </c>
      <c r="J42" s="91">
        <v>7000</v>
      </c>
    </row>
    <row r="43" spans="1:10" s="94" customFormat="1" ht="20.100000000000001" customHeight="1" x14ac:dyDescent="0.25">
      <c r="A43" s="119"/>
      <c r="B43" s="100" t="s">
        <v>1714</v>
      </c>
      <c r="C43" s="93" t="s">
        <v>369</v>
      </c>
      <c r="D43" s="93" t="s">
        <v>265</v>
      </c>
      <c r="E43" s="93" t="s">
        <v>273</v>
      </c>
      <c r="F43" s="93" t="s">
        <v>13</v>
      </c>
      <c r="G43" s="15" t="s">
        <v>371</v>
      </c>
      <c r="H43" s="98">
        <v>9200</v>
      </c>
      <c r="I43" s="92" t="s">
        <v>1679</v>
      </c>
      <c r="J43" s="91">
        <v>7300</v>
      </c>
    </row>
    <row r="44" spans="1:10" s="94" customFormat="1" ht="20.100000000000001" customHeight="1" x14ac:dyDescent="0.25">
      <c r="A44" s="119"/>
      <c r="B44" s="100" t="s">
        <v>1715</v>
      </c>
      <c r="C44" s="93" t="s">
        <v>263</v>
      </c>
      <c r="D44" s="93" t="s">
        <v>266</v>
      </c>
      <c r="E44" s="93" t="s">
        <v>273</v>
      </c>
      <c r="F44" s="93" t="s">
        <v>13</v>
      </c>
      <c r="G44" s="15" t="s">
        <v>371</v>
      </c>
      <c r="H44" s="98">
        <v>9200</v>
      </c>
      <c r="I44" s="92" t="s">
        <v>1679</v>
      </c>
      <c r="J44" s="91">
        <v>7300</v>
      </c>
    </row>
    <row r="45" spans="1:10" s="94" customFormat="1" ht="20.100000000000001" customHeight="1" x14ac:dyDescent="0.25">
      <c r="A45" s="119"/>
      <c r="B45" s="100" t="s">
        <v>1716</v>
      </c>
      <c r="C45" s="93" t="s">
        <v>262</v>
      </c>
      <c r="D45" s="93" t="s">
        <v>267</v>
      </c>
      <c r="E45" s="93" t="s">
        <v>273</v>
      </c>
      <c r="F45" s="93" t="s">
        <v>13</v>
      </c>
      <c r="G45" s="15" t="s">
        <v>371</v>
      </c>
      <c r="H45" s="98">
        <v>9200</v>
      </c>
      <c r="I45" s="92" t="s">
        <v>1679</v>
      </c>
      <c r="J45" s="91">
        <v>7300</v>
      </c>
    </row>
    <row r="46" spans="1:10" s="94" customFormat="1" ht="20.100000000000001" customHeight="1" x14ac:dyDescent="0.25">
      <c r="A46" s="119"/>
      <c r="B46" s="100" t="s">
        <v>1717</v>
      </c>
      <c r="C46" s="93" t="s">
        <v>370</v>
      </c>
      <c r="D46" s="93" t="s">
        <v>268</v>
      </c>
      <c r="E46" s="93" t="s">
        <v>273</v>
      </c>
      <c r="F46" s="93" t="s">
        <v>13</v>
      </c>
      <c r="G46" s="15" t="s">
        <v>371</v>
      </c>
      <c r="H46" s="98">
        <v>9200</v>
      </c>
      <c r="I46" s="92" t="s">
        <v>1679</v>
      </c>
      <c r="J46" s="91">
        <v>7300</v>
      </c>
    </row>
    <row r="47" spans="1:10" s="94" customFormat="1" ht="20.100000000000001" customHeight="1" x14ac:dyDescent="0.25">
      <c r="A47" s="120" t="s">
        <v>74</v>
      </c>
      <c r="B47" s="120"/>
      <c r="C47" s="120"/>
      <c r="D47" s="120"/>
      <c r="E47" s="120"/>
      <c r="F47" s="120"/>
      <c r="G47" s="120"/>
      <c r="H47" s="120"/>
      <c r="I47" s="120"/>
      <c r="J47" s="120"/>
    </row>
    <row r="48" spans="1:10" s="94" customFormat="1" ht="20.100000000000001" customHeight="1" x14ac:dyDescent="0.25">
      <c r="A48" s="121" t="s">
        <v>1718</v>
      </c>
      <c r="B48" s="122"/>
      <c r="C48" s="122"/>
      <c r="D48" s="122"/>
      <c r="E48" s="122"/>
      <c r="F48" s="122"/>
      <c r="G48" s="123"/>
      <c r="H48" s="91">
        <v>1120</v>
      </c>
      <c r="I48" s="92">
        <v>0</v>
      </c>
      <c r="J48" s="91">
        <f>CEILING(H48*1,10)</f>
        <v>1120</v>
      </c>
    </row>
    <row r="49" spans="1:10" s="94" customFormat="1" ht="20.100000000000001" customHeight="1" x14ac:dyDescent="0.25">
      <c r="A49" s="160"/>
      <c r="B49" s="160"/>
      <c r="C49" s="160"/>
      <c r="D49" s="160"/>
      <c r="E49" s="160"/>
      <c r="F49" s="160"/>
      <c r="G49" s="160"/>
      <c r="H49" s="160"/>
      <c r="I49" s="160"/>
      <c r="J49" s="160"/>
    </row>
    <row r="50" spans="1:10" ht="39.950000000000003" customHeight="1" x14ac:dyDescent="0.25">
      <c r="A50" s="117" t="s">
        <v>1719</v>
      </c>
      <c r="B50" s="118"/>
      <c r="C50" s="118"/>
      <c r="D50" s="118"/>
      <c r="E50" s="118"/>
      <c r="F50" s="118"/>
      <c r="G50" s="118"/>
      <c r="H50" s="118"/>
      <c r="I50" s="118"/>
      <c r="J50" s="118"/>
    </row>
    <row r="51" spans="1:10" ht="30" customHeight="1" x14ac:dyDescent="0.25">
      <c r="A51" s="5"/>
      <c r="B51" s="3" t="s">
        <v>2</v>
      </c>
      <c r="C51" s="4" t="s">
        <v>48</v>
      </c>
      <c r="D51" s="4" t="s">
        <v>49</v>
      </c>
      <c r="E51" s="3" t="s">
        <v>9</v>
      </c>
      <c r="F51" s="3" t="s">
        <v>10</v>
      </c>
      <c r="G51" s="4" t="s">
        <v>11</v>
      </c>
      <c r="H51" s="4" t="s">
        <v>17</v>
      </c>
      <c r="I51" s="4" t="s">
        <v>12</v>
      </c>
      <c r="J51" s="4" t="s">
        <v>18</v>
      </c>
    </row>
    <row r="52" spans="1:10" s="94" customFormat="1" ht="30" customHeight="1" x14ac:dyDescent="0.25">
      <c r="A52" s="119"/>
      <c r="B52" s="99" t="s">
        <v>815</v>
      </c>
      <c r="C52" s="93" t="s">
        <v>369</v>
      </c>
      <c r="D52" s="93" t="s">
        <v>265</v>
      </c>
      <c r="E52" s="93" t="s">
        <v>273</v>
      </c>
      <c r="F52" s="93" t="s">
        <v>13</v>
      </c>
      <c r="G52" s="15" t="s">
        <v>371</v>
      </c>
      <c r="H52" s="98">
        <v>10260</v>
      </c>
      <c r="I52" s="92" t="s">
        <v>1679</v>
      </c>
      <c r="J52" s="91">
        <v>8200</v>
      </c>
    </row>
    <row r="53" spans="1:10" s="94" customFormat="1" ht="30" customHeight="1" x14ac:dyDescent="0.25">
      <c r="A53" s="119"/>
      <c r="B53" s="99" t="s">
        <v>816</v>
      </c>
      <c r="C53" s="93" t="s">
        <v>263</v>
      </c>
      <c r="D53" s="93" t="s">
        <v>266</v>
      </c>
      <c r="E53" s="93" t="s">
        <v>273</v>
      </c>
      <c r="F53" s="93" t="s">
        <v>13</v>
      </c>
      <c r="G53" s="15" t="s">
        <v>371</v>
      </c>
      <c r="H53" s="98">
        <v>10260</v>
      </c>
      <c r="I53" s="92" t="s">
        <v>1679</v>
      </c>
      <c r="J53" s="91">
        <v>8200</v>
      </c>
    </row>
    <row r="54" spans="1:10" s="94" customFormat="1" ht="30" customHeight="1" x14ac:dyDescent="0.25">
      <c r="A54" s="119"/>
      <c r="B54" s="99" t="s">
        <v>817</v>
      </c>
      <c r="C54" s="93" t="s">
        <v>262</v>
      </c>
      <c r="D54" s="93" t="s">
        <v>267</v>
      </c>
      <c r="E54" s="93" t="s">
        <v>273</v>
      </c>
      <c r="F54" s="93" t="s">
        <v>13</v>
      </c>
      <c r="G54" s="15" t="s">
        <v>371</v>
      </c>
      <c r="H54" s="98">
        <v>10260</v>
      </c>
      <c r="I54" s="92" t="s">
        <v>1679</v>
      </c>
      <c r="J54" s="91">
        <v>8200</v>
      </c>
    </row>
    <row r="55" spans="1:10" s="94" customFormat="1" ht="30" customHeight="1" x14ac:dyDescent="0.25">
      <c r="A55" s="119"/>
      <c r="B55" s="99" t="s">
        <v>818</v>
      </c>
      <c r="C55" s="93" t="s">
        <v>370</v>
      </c>
      <c r="D55" s="93" t="s">
        <v>268</v>
      </c>
      <c r="E55" s="93" t="s">
        <v>273</v>
      </c>
      <c r="F55" s="93" t="s">
        <v>13</v>
      </c>
      <c r="G55" s="15" t="s">
        <v>371</v>
      </c>
      <c r="H55" s="98">
        <v>10260</v>
      </c>
      <c r="I55" s="92" t="s">
        <v>1679</v>
      </c>
      <c r="J55" s="91">
        <v>8200</v>
      </c>
    </row>
    <row r="56" spans="1:10" s="94" customFormat="1" ht="20.100000000000001" customHeight="1" x14ac:dyDescent="0.25">
      <c r="A56" s="120" t="s">
        <v>74</v>
      </c>
      <c r="B56" s="120"/>
      <c r="C56" s="120"/>
      <c r="D56" s="120"/>
      <c r="E56" s="120"/>
      <c r="F56" s="120"/>
      <c r="G56" s="120"/>
      <c r="H56" s="120"/>
      <c r="I56" s="120"/>
      <c r="J56" s="120"/>
    </row>
    <row r="57" spans="1:10" s="94" customFormat="1" ht="20.100000000000001" customHeight="1" x14ac:dyDescent="0.25">
      <c r="A57" s="121" t="s">
        <v>819</v>
      </c>
      <c r="B57" s="122"/>
      <c r="C57" s="122"/>
      <c r="D57" s="122"/>
      <c r="E57" s="122"/>
      <c r="F57" s="122"/>
      <c r="G57" s="123"/>
      <c r="H57" s="91">
        <v>1580</v>
      </c>
      <c r="I57" s="92">
        <v>0</v>
      </c>
      <c r="J57" s="91">
        <f>CEILING(H57*1,10)</f>
        <v>1580</v>
      </c>
    </row>
    <row r="58" spans="1:10" ht="20.100000000000001" customHeight="1" x14ac:dyDescent="0.25">
      <c r="A58" s="131"/>
      <c r="B58" s="131"/>
      <c r="C58" s="131"/>
      <c r="D58" s="131"/>
      <c r="E58" s="131"/>
      <c r="F58" s="131"/>
      <c r="G58" s="131"/>
      <c r="H58" s="131"/>
      <c r="I58" s="131"/>
      <c r="J58" s="131"/>
    </row>
    <row r="59" spans="1:10" ht="39.950000000000003" customHeight="1" x14ac:dyDescent="0.25">
      <c r="A59" s="117" t="s">
        <v>1720</v>
      </c>
      <c r="B59" s="118"/>
      <c r="C59" s="118"/>
      <c r="D59" s="118"/>
      <c r="E59" s="118"/>
      <c r="F59" s="118"/>
      <c r="G59" s="118"/>
      <c r="H59" s="118"/>
      <c r="I59" s="118"/>
      <c r="J59" s="118"/>
    </row>
    <row r="60" spans="1:10" ht="30" customHeight="1" x14ac:dyDescent="0.25">
      <c r="A60" s="5"/>
      <c r="B60" s="3" t="s">
        <v>2</v>
      </c>
      <c r="C60" s="4" t="s">
        <v>48</v>
      </c>
      <c r="D60" s="4" t="s">
        <v>49</v>
      </c>
      <c r="E60" s="3" t="s">
        <v>9</v>
      </c>
      <c r="F60" s="3" t="s">
        <v>10</v>
      </c>
      <c r="G60" s="4" t="s">
        <v>11</v>
      </c>
      <c r="H60" s="4" t="s">
        <v>17</v>
      </c>
      <c r="I60" s="4" t="s">
        <v>12</v>
      </c>
      <c r="J60" s="4" t="s">
        <v>18</v>
      </c>
    </row>
    <row r="61" spans="1:10" s="94" customFormat="1" ht="30" customHeight="1" x14ac:dyDescent="0.25">
      <c r="A61" s="119"/>
      <c r="B61" s="32" t="s">
        <v>820</v>
      </c>
      <c r="C61" s="93" t="s">
        <v>369</v>
      </c>
      <c r="D61" s="93" t="s">
        <v>265</v>
      </c>
      <c r="E61" s="93" t="s">
        <v>273</v>
      </c>
      <c r="F61" s="93" t="s">
        <v>13</v>
      </c>
      <c r="G61" s="15" t="s">
        <v>728</v>
      </c>
      <c r="H61" s="98">
        <v>11130</v>
      </c>
      <c r="I61" s="92" t="s">
        <v>1679</v>
      </c>
      <c r="J61" s="91">
        <v>8900</v>
      </c>
    </row>
    <row r="62" spans="1:10" s="94" customFormat="1" ht="30" customHeight="1" x14ac:dyDescent="0.25">
      <c r="A62" s="119"/>
      <c r="B62" s="32" t="s">
        <v>821</v>
      </c>
      <c r="C62" s="93" t="s">
        <v>263</v>
      </c>
      <c r="D62" s="93" t="s">
        <v>266</v>
      </c>
      <c r="E62" s="93" t="s">
        <v>273</v>
      </c>
      <c r="F62" s="93" t="s">
        <v>13</v>
      </c>
      <c r="G62" s="15" t="s">
        <v>728</v>
      </c>
      <c r="H62" s="98">
        <v>11130</v>
      </c>
      <c r="I62" s="92" t="s">
        <v>1679</v>
      </c>
      <c r="J62" s="91">
        <v>8900</v>
      </c>
    </row>
    <row r="63" spans="1:10" s="94" customFormat="1" ht="30" customHeight="1" x14ac:dyDescent="0.25">
      <c r="A63" s="119"/>
      <c r="B63" s="32" t="s">
        <v>822</v>
      </c>
      <c r="C63" s="93" t="s">
        <v>262</v>
      </c>
      <c r="D63" s="93" t="s">
        <v>267</v>
      </c>
      <c r="E63" s="93" t="s">
        <v>273</v>
      </c>
      <c r="F63" s="93" t="s">
        <v>13</v>
      </c>
      <c r="G63" s="15" t="s">
        <v>728</v>
      </c>
      <c r="H63" s="98">
        <v>11130</v>
      </c>
      <c r="I63" s="92" t="s">
        <v>1679</v>
      </c>
      <c r="J63" s="91">
        <v>8900</v>
      </c>
    </row>
    <row r="64" spans="1:10" s="94" customFormat="1" ht="30" customHeight="1" x14ac:dyDescent="0.25">
      <c r="A64" s="119"/>
      <c r="B64" s="32" t="s">
        <v>823</v>
      </c>
      <c r="C64" s="93" t="s">
        <v>370</v>
      </c>
      <c r="D64" s="93" t="s">
        <v>268</v>
      </c>
      <c r="E64" s="93" t="s">
        <v>273</v>
      </c>
      <c r="F64" s="93" t="s">
        <v>13</v>
      </c>
      <c r="G64" s="15" t="s">
        <v>728</v>
      </c>
      <c r="H64" s="98">
        <v>11130</v>
      </c>
      <c r="I64" s="92" t="s">
        <v>1679</v>
      </c>
      <c r="J64" s="91">
        <v>8900</v>
      </c>
    </row>
    <row r="65" spans="1:10" ht="20.100000000000001" customHeight="1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J65" s="131"/>
    </row>
    <row r="66" spans="1:10" ht="39.950000000000003" customHeight="1" x14ac:dyDescent="0.25">
      <c r="A66" s="117" t="s">
        <v>1721</v>
      </c>
      <c r="B66" s="118"/>
      <c r="C66" s="118"/>
      <c r="D66" s="118"/>
      <c r="E66" s="118"/>
      <c r="F66" s="118"/>
      <c r="G66" s="118"/>
      <c r="H66" s="118"/>
      <c r="I66" s="118"/>
      <c r="J66" s="118"/>
    </row>
    <row r="67" spans="1:10" ht="30" customHeight="1" x14ac:dyDescent="0.25">
      <c r="A67" s="5"/>
      <c r="B67" s="3" t="s">
        <v>2</v>
      </c>
      <c r="C67" s="4" t="s">
        <v>48</v>
      </c>
      <c r="D67" s="4" t="s">
        <v>49</v>
      </c>
      <c r="E67" s="3" t="s">
        <v>9</v>
      </c>
      <c r="F67" s="3" t="s">
        <v>10</v>
      </c>
      <c r="G67" s="4" t="s">
        <v>11</v>
      </c>
      <c r="H67" s="4" t="s">
        <v>17</v>
      </c>
      <c r="I67" s="4" t="s">
        <v>12</v>
      </c>
      <c r="J67" s="4" t="s">
        <v>18</v>
      </c>
    </row>
    <row r="68" spans="1:10" s="94" customFormat="1" ht="30" customHeight="1" x14ac:dyDescent="0.25">
      <c r="A68" s="119"/>
      <c r="B68" s="32" t="s">
        <v>824</v>
      </c>
      <c r="C68" s="93" t="s">
        <v>369</v>
      </c>
      <c r="D68" s="93" t="s">
        <v>265</v>
      </c>
      <c r="E68" s="93" t="s">
        <v>273</v>
      </c>
      <c r="F68" s="93" t="s">
        <v>13</v>
      </c>
      <c r="G68" s="15" t="s">
        <v>728</v>
      </c>
      <c r="H68" s="98">
        <v>8800</v>
      </c>
      <c r="I68" s="92" t="s">
        <v>1679</v>
      </c>
      <c r="J68" s="91">
        <v>7000</v>
      </c>
    </row>
    <row r="69" spans="1:10" s="94" customFormat="1" ht="30" customHeight="1" x14ac:dyDescent="0.25">
      <c r="A69" s="119"/>
      <c r="B69" s="32" t="s">
        <v>825</v>
      </c>
      <c r="C69" s="93" t="s">
        <v>263</v>
      </c>
      <c r="D69" s="93" t="s">
        <v>266</v>
      </c>
      <c r="E69" s="93" t="s">
        <v>273</v>
      </c>
      <c r="F69" s="93" t="s">
        <v>13</v>
      </c>
      <c r="G69" s="15" t="s">
        <v>728</v>
      </c>
      <c r="H69" s="98">
        <v>8800</v>
      </c>
      <c r="I69" s="92" t="s">
        <v>1679</v>
      </c>
      <c r="J69" s="91">
        <v>7000</v>
      </c>
    </row>
    <row r="70" spans="1:10" s="94" customFormat="1" ht="30" customHeight="1" x14ac:dyDescent="0.25">
      <c r="A70" s="119"/>
      <c r="B70" s="32" t="s">
        <v>826</v>
      </c>
      <c r="C70" s="93" t="s">
        <v>262</v>
      </c>
      <c r="D70" s="93" t="s">
        <v>267</v>
      </c>
      <c r="E70" s="93" t="s">
        <v>273</v>
      </c>
      <c r="F70" s="93" t="s">
        <v>13</v>
      </c>
      <c r="G70" s="15" t="s">
        <v>728</v>
      </c>
      <c r="H70" s="98">
        <v>8800</v>
      </c>
      <c r="I70" s="92" t="s">
        <v>1679</v>
      </c>
      <c r="J70" s="91">
        <v>7000</v>
      </c>
    </row>
    <row r="71" spans="1:10" s="94" customFormat="1" ht="30" customHeight="1" x14ac:dyDescent="0.25">
      <c r="A71" s="119"/>
      <c r="B71" s="32" t="s">
        <v>827</v>
      </c>
      <c r="C71" s="93" t="s">
        <v>370</v>
      </c>
      <c r="D71" s="93" t="s">
        <v>268</v>
      </c>
      <c r="E71" s="93" t="s">
        <v>273</v>
      </c>
      <c r="F71" s="93" t="s">
        <v>13</v>
      </c>
      <c r="G71" s="15" t="s">
        <v>728</v>
      </c>
      <c r="H71" s="98">
        <v>8800</v>
      </c>
      <c r="I71" s="92" t="s">
        <v>1679</v>
      </c>
      <c r="J71" s="91">
        <v>7000</v>
      </c>
    </row>
    <row r="72" spans="1:10" ht="20.100000000000001" customHeight="1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</row>
    <row r="73" spans="1:10" ht="39.950000000000003" customHeight="1" x14ac:dyDescent="0.25">
      <c r="A73" s="117" t="s">
        <v>1722</v>
      </c>
      <c r="B73" s="118"/>
      <c r="C73" s="118"/>
      <c r="D73" s="118"/>
      <c r="E73" s="118"/>
      <c r="F73" s="118"/>
      <c r="G73" s="118"/>
      <c r="H73" s="118"/>
      <c r="I73" s="118"/>
      <c r="J73" s="118"/>
    </row>
    <row r="74" spans="1:10" ht="30" customHeight="1" x14ac:dyDescent="0.25">
      <c r="A74" s="5"/>
      <c r="B74" s="3" t="s">
        <v>2</v>
      </c>
      <c r="C74" s="4" t="s">
        <v>48</v>
      </c>
      <c r="D74" s="4" t="s">
        <v>49</v>
      </c>
      <c r="E74" s="3" t="s">
        <v>9</v>
      </c>
      <c r="F74" s="3" t="s">
        <v>10</v>
      </c>
      <c r="G74" s="4" t="s">
        <v>11</v>
      </c>
      <c r="H74" s="4" t="s">
        <v>17</v>
      </c>
      <c r="I74" s="4" t="s">
        <v>12</v>
      </c>
      <c r="J74" s="4" t="s">
        <v>18</v>
      </c>
    </row>
    <row r="75" spans="1:10" s="94" customFormat="1" ht="39.950000000000003" customHeight="1" x14ac:dyDescent="0.25">
      <c r="A75" s="119"/>
      <c r="B75" s="99" t="s">
        <v>828</v>
      </c>
      <c r="C75" s="93" t="s">
        <v>263</v>
      </c>
      <c r="D75" s="93" t="s">
        <v>266</v>
      </c>
      <c r="E75" s="93" t="s">
        <v>273</v>
      </c>
      <c r="F75" s="93" t="s">
        <v>13</v>
      </c>
      <c r="G75" s="15" t="s">
        <v>831</v>
      </c>
      <c r="H75" s="98">
        <v>9980</v>
      </c>
      <c r="I75" s="92" t="s">
        <v>1679</v>
      </c>
      <c r="J75" s="91">
        <v>8000</v>
      </c>
    </row>
    <row r="76" spans="1:10" s="94" customFormat="1" ht="39.950000000000003" customHeight="1" x14ac:dyDescent="0.25">
      <c r="A76" s="119"/>
      <c r="B76" s="99" t="s">
        <v>829</v>
      </c>
      <c r="C76" s="93" t="s">
        <v>262</v>
      </c>
      <c r="D76" s="93" t="s">
        <v>267</v>
      </c>
      <c r="E76" s="93" t="s">
        <v>273</v>
      </c>
      <c r="F76" s="93" t="s">
        <v>13</v>
      </c>
      <c r="G76" s="15" t="s">
        <v>831</v>
      </c>
      <c r="H76" s="98">
        <v>9980</v>
      </c>
      <c r="I76" s="92" t="s">
        <v>1679</v>
      </c>
      <c r="J76" s="91">
        <v>8000</v>
      </c>
    </row>
    <row r="77" spans="1:10" s="94" customFormat="1" ht="39.950000000000003" customHeight="1" x14ac:dyDescent="0.25">
      <c r="A77" s="119"/>
      <c r="B77" s="99" t="s">
        <v>830</v>
      </c>
      <c r="C77" s="93" t="s">
        <v>370</v>
      </c>
      <c r="D77" s="93" t="s">
        <v>268</v>
      </c>
      <c r="E77" s="93" t="s">
        <v>273</v>
      </c>
      <c r="F77" s="93" t="s">
        <v>13</v>
      </c>
      <c r="G77" s="15" t="s">
        <v>831</v>
      </c>
      <c r="H77" s="98">
        <v>9980</v>
      </c>
      <c r="I77" s="92" t="s">
        <v>1679</v>
      </c>
      <c r="J77" s="91">
        <v>8000</v>
      </c>
    </row>
    <row r="78" spans="1:10" ht="20.100000000000001" customHeight="1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</row>
    <row r="79" spans="1:10" ht="39.950000000000003" customHeight="1" x14ac:dyDescent="0.25">
      <c r="A79" s="117" t="s">
        <v>1723</v>
      </c>
      <c r="B79" s="118"/>
      <c r="C79" s="118"/>
      <c r="D79" s="118"/>
      <c r="E79" s="118"/>
      <c r="F79" s="118"/>
      <c r="G79" s="118"/>
      <c r="H79" s="118"/>
      <c r="I79" s="118"/>
      <c r="J79" s="118"/>
    </row>
    <row r="80" spans="1:10" ht="30" customHeight="1" x14ac:dyDescent="0.25">
      <c r="A80" s="5"/>
      <c r="B80" s="3" t="s">
        <v>2</v>
      </c>
      <c r="C80" s="4" t="s">
        <v>48</v>
      </c>
      <c r="D80" s="4" t="s">
        <v>49</v>
      </c>
      <c r="E80" s="3" t="s">
        <v>9</v>
      </c>
      <c r="F80" s="3" t="s">
        <v>10</v>
      </c>
      <c r="G80" s="4" t="s">
        <v>11</v>
      </c>
      <c r="H80" s="4" t="s">
        <v>17</v>
      </c>
      <c r="I80" s="4" t="s">
        <v>12</v>
      </c>
      <c r="J80" s="4" t="s">
        <v>18</v>
      </c>
    </row>
    <row r="81" spans="1:10" s="94" customFormat="1" ht="39.950000000000003" customHeight="1" x14ac:dyDescent="0.25">
      <c r="A81" s="119"/>
      <c r="B81" s="32" t="s">
        <v>832</v>
      </c>
      <c r="C81" s="93" t="s">
        <v>263</v>
      </c>
      <c r="D81" s="93" t="s">
        <v>266</v>
      </c>
      <c r="E81" s="93" t="s">
        <v>273</v>
      </c>
      <c r="F81" s="93" t="s">
        <v>13</v>
      </c>
      <c r="G81" s="15" t="s">
        <v>831</v>
      </c>
      <c r="H81" s="98">
        <v>9830</v>
      </c>
      <c r="I81" s="92" t="s">
        <v>1679</v>
      </c>
      <c r="J81" s="91">
        <v>7800</v>
      </c>
    </row>
    <row r="82" spans="1:10" s="94" customFormat="1" ht="39.950000000000003" customHeight="1" x14ac:dyDescent="0.25">
      <c r="A82" s="119"/>
      <c r="B82" s="32" t="s">
        <v>833</v>
      </c>
      <c r="C82" s="93" t="s">
        <v>262</v>
      </c>
      <c r="D82" s="93" t="s">
        <v>267</v>
      </c>
      <c r="E82" s="93" t="s">
        <v>273</v>
      </c>
      <c r="F82" s="93" t="s">
        <v>13</v>
      </c>
      <c r="G82" s="15" t="s">
        <v>831</v>
      </c>
      <c r="H82" s="98">
        <v>9830</v>
      </c>
      <c r="I82" s="92" t="s">
        <v>1679</v>
      </c>
      <c r="J82" s="91">
        <v>7800</v>
      </c>
    </row>
    <row r="83" spans="1:10" s="94" customFormat="1" ht="39.950000000000003" customHeight="1" x14ac:dyDescent="0.25">
      <c r="A83" s="119"/>
      <c r="B83" s="32" t="s">
        <v>834</v>
      </c>
      <c r="C83" s="93" t="s">
        <v>370</v>
      </c>
      <c r="D83" s="93" t="s">
        <v>268</v>
      </c>
      <c r="E83" s="93" t="s">
        <v>273</v>
      </c>
      <c r="F83" s="93" t="s">
        <v>13</v>
      </c>
      <c r="G83" s="15" t="s">
        <v>831</v>
      </c>
      <c r="H83" s="98">
        <v>9830</v>
      </c>
      <c r="I83" s="92" t="s">
        <v>1679</v>
      </c>
      <c r="J83" s="91">
        <v>7800</v>
      </c>
    </row>
    <row r="84" spans="1:10" ht="20.100000000000001" customHeight="1" x14ac:dyDescent="0.25">
      <c r="A84" s="131"/>
      <c r="B84" s="131"/>
      <c r="C84" s="131"/>
      <c r="D84" s="131"/>
      <c r="E84" s="131"/>
      <c r="F84" s="131"/>
      <c r="G84" s="131"/>
      <c r="H84" s="131"/>
      <c r="I84" s="131"/>
      <c r="J84" s="131"/>
    </row>
    <row r="85" spans="1:10" ht="39.950000000000003" customHeight="1" x14ac:dyDescent="0.25">
      <c r="A85" s="117" t="s">
        <v>1813</v>
      </c>
      <c r="B85" s="118"/>
      <c r="C85" s="118"/>
      <c r="D85" s="118"/>
      <c r="E85" s="118"/>
      <c r="F85" s="118"/>
      <c r="G85" s="118"/>
      <c r="H85" s="118"/>
      <c r="I85" s="118"/>
      <c r="J85" s="118"/>
    </row>
    <row r="86" spans="1:10" ht="30" customHeight="1" x14ac:dyDescent="0.25">
      <c r="A86" s="5"/>
      <c r="B86" s="39" t="s">
        <v>2</v>
      </c>
      <c r="C86" s="4" t="s">
        <v>48</v>
      </c>
      <c r="D86" s="4" t="s">
        <v>49</v>
      </c>
      <c r="E86" s="3" t="s">
        <v>9</v>
      </c>
      <c r="F86" s="3" t="s">
        <v>10</v>
      </c>
      <c r="G86" s="4" t="s">
        <v>11</v>
      </c>
      <c r="H86" s="4" t="s">
        <v>17</v>
      </c>
      <c r="I86" s="4" t="s">
        <v>12</v>
      </c>
      <c r="J86" s="4" t="s">
        <v>18</v>
      </c>
    </row>
    <row r="87" spans="1:10" s="94" customFormat="1" ht="39.950000000000003" customHeight="1" x14ac:dyDescent="0.25">
      <c r="A87" s="125"/>
      <c r="B87" s="32" t="s">
        <v>835</v>
      </c>
      <c r="C87" s="93" t="s">
        <v>263</v>
      </c>
      <c r="D87" s="93" t="s">
        <v>266</v>
      </c>
      <c r="E87" s="93" t="s">
        <v>273</v>
      </c>
      <c r="F87" s="93" t="s">
        <v>13</v>
      </c>
      <c r="G87" s="15" t="s">
        <v>831</v>
      </c>
      <c r="H87" s="98">
        <v>9610</v>
      </c>
      <c r="I87" s="92" t="s">
        <v>1679</v>
      </c>
      <c r="J87" s="91">
        <v>7700</v>
      </c>
    </row>
    <row r="88" spans="1:10" s="94" customFormat="1" ht="39.950000000000003" customHeight="1" x14ac:dyDescent="0.25">
      <c r="A88" s="159"/>
      <c r="B88" s="32" t="s">
        <v>836</v>
      </c>
      <c r="C88" s="93" t="s">
        <v>262</v>
      </c>
      <c r="D88" s="93" t="s">
        <v>267</v>
      </c>
      <c r="E88" s="93" t="s">
        <v>273</v>
      </c>
      <c r="F88" s="93" t="s">
        <v>13</v>
      </c>
      <c r="G88" s="15" t="s">
        <v>831</v>
      </c>
      <c r="H88" s="98">
        <v>9610</v>
      </c>
      <c r="I88" s="92" t="s">
        <v>1679</v>
      </c>
      <c r="J88" s="91">
        <v>7700</v>
      </c>
    </row>
    <row r="89" spans="1:10" s="94" customFormat="1" ht="39.950000000000003" customHeight="1" x14ac:dyDescent="0.25">
      <c r="A89" s="159"/>
      <c r="B89" s="32" t="s">
        <v>837</v>
      </c>
      <c r="C89" s="93" t="s">
        <v>370</v>
      </c>
      <c r="D89" s="93" t="s">
        <v>268</v>
      </c>
      <c r="E89" s="93" t="s">
        <v>273</v>
      </c>
      <c r="F89" s="93" t="s">
        <v>13</v>
      </c>
      <c r="G89" s="15" t="s">
        <v>831</v>
      </c>
      <c r="H89" s="98">
        <v>9610</v>
      </c>
      <c r="I89" s="92" t="s">
        <v>1679</v>
      </c>
      <c r="J89" s="91">
        <v>7700</v>
      </c>
    </row>
    <row r="90" spans="1:10" ht="20.100000000000001" customHeight="1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</row>
    <row r="91" spans="1:10" ht="94.5" customHeight="1" x14ac:dyDescent="0.25">
      <c r="A91" s="117" t="s">
        <v>1724</v>
      </c>
      <c r="B91" s="118"/>
      <c r="C91" s="118"/>
      <c r="D91" s="118"/>
      <c r="E91" s="118"/>
      <c r="F91" s="118"/>
      <c r="G91" s="118"/>
      <c r="H91" s="118"/>
      <c r="I91" s="118"/>
      <c r="J91" s="118"/>
    </row>
    <row r="92" spans="1:10" ht="30" customHeight="1" x14ac:dyDescent="0.25">
      <c r="A92" s="5"/>
      <c r="B92" s="3" t="s">
        <v>2</v>
      </c>
      <c r="C92" s="4" t="s">
        <v>48</v>
      </c>
      <c r="D92" s="4" t="s">
        <v>49</v>
      </c>
      <c r="E92" s="3" t="s">
        <v>9</v>
      </c>
      <c r="F92" s="3" t="s">
        <v>10</v>
      </c>
      <c r="G92" s="4" t="s">
        <v>11</v>
      </c>
      <c r="H92" s="4" t="s">
        <v>17</v>
      </c>
      <c r="I92" s="4" t="s">
        <v>12</v>
      </c>
      <c r="J92" s="4" t="s">
        <v>18</v>
      </c>
    </row>
    <row r="93" spans="1:10" s="94" customFormat="1" ht="24.95" customHeight="1" x14ac:dyDescent="0.25">
      <c r="A93" s="125"/>
      <c r="B93" s="32" t="s">
        <v>838</v>
      </c>
      <c r="C93" s="93" t="s">
        <v>263</v>
      </c>
      <c r="D93" s="93" t="s">
        <v>266</v>
      </c>
      <c r="E93" s="93" t="s">
        <v>273</v>
      </c>
      <c r="F93" s="93" t="s">
        <v>13</v>
      </c>
      <c r="G93" s="15" t="s">
        <v>831</v>
      </c>
      <c r="H93" s="98">
        <v>9610</v>
      </c>
      <c r="I93" s="92" t="s">
        <v>1679</v>
      </c>
      <c r="J93" s="91">
        <v>7700</v>
      </c>
    </row>
    <row r="94" spans="1:10" s="94" customFormat="1" ht="24.95" customHeight="1" x14ac:dyDescent="0.25">
      <c r="A94" s="159"/>
      <c r="B94" s="32" t="s">
        <v>839</v>
      </c>
      <c r="C94" s="93" t="s">
        <v>262</v>
      </c>
      <c r="D94" s="93" t="s">
        <v>267</v>
      </c>
      <c r="E94" s="93" t="s">
        <v>273</v>
      </c>
      <c r="F94" s="93" t="s">
        <v>13</v>
      </c>
      <c r="G94" s="15" t="s">
        <v>831</v>
      </c>
      <c r="H94" s="98">
        <v>9610</v>
      </c>
      <c r="I94" s="92" t="s">
        <v>1679</v>
      </c>
      <c r="J94" s="91">
        <v>7700</v>
      </c>
    </row>
    <row r="95" spans="1:10" s="94" customFormat="1" ht="24.95" customHeight="1" x14ac:dyDescent="0.25">
      <c r="A95" s="159"/>
      <c r="B95" s="32" t="s">
        <v>840</v>
      </c>
      <c r="C95" s="93" t="s">
        <v>370</v>
      </c>
      <c r="D95" s="93" t="s">
        <v>268</v>
      </c>
      <c r="E95" s="93" t="s">
        <v>273</v>
      </c>
      <c r="F95" s="93" t="s">
        <v>13</v>
      </c>
      <c r="G95" s="15" t="s">
        <v>831</v>
      </c>
      <c r="H95" s="98">
        <v>9610</v>
      </c>
      <c r="I95" s="92" t="s">
        <v>1679</v>
      </c>
      <c r="J95" s="91">
        <v>7700</v>
      </c>
    </row>
    <row r="96" spans="1:10" s="94" customFormat="1" ht="24.95" customHeight="1" x14ac:dyDescent="0.25">
      <c r="A96" s="159"/>
      <c r="B96" s="100" t="s">
        <v>1725</v>
      </c>
      <c r="C96" s="93" t="s">
        <v>263</v>
      </c>
      <c r="D96" s="93" t="s">
        <v>266</v>
      </c>
      <c r="E96" s="93" t="s">
        <v>273</v>
      </c>
      <c r="F96" s="93" t="s">
        <v>13</v>
      </c>
      <c r="G96" s="15" t="s">
        <v>831</v>
      </c>
      <c r="H96" s="63">
        <v>9980</v>
      </c>
      <c r="I96" s="92" t="s">
        <v>1679</v>
      </c>
      <c r="J96" s="91">
        <v>8000</v>
      </c>
    </row>
    <row r="97" spans="1:10" s="94" customFormat="1" ht="24.95" customHeight="1" x14ac:dyDescent="0.25">
      <c r="A97" s="159"/>
      <c r="B97" s="100" t="s">
        <v>1726</v>
      </c>
      <c r="C97" s="93" t="s">
        <v>262</v>
      </c>
      <c r="D97" s="93" t="s">
        <v>267</v>
      </c>
      <c r="E97" s="93" t="s">
        <v>273</v>
      </c>
      <c r="F97" s="93" t="s">
        <v>13</v>
      </c>
      <c r="G97" s="15" t="s">
        <v>831</v>
      </c>
      <c r="H97" s="63">
        <v>9980</v>
      </c>
      <c r="I97" s="92" t="s">
        <v>1679</v>
      </c>
      <c r="J97" s="91">
        <v>8000</v>
      </c>
    </row>
    <row r="98" spans="1:10" s="94" customFormat="1" ht="24.95" customHeight="1" x14ac:dyDescent="0.25">
      <c r="A98" s="161"/>
      <c r="B98" s="100" t="s">
        <v>1727</v>
      </c>
      <c r="C98" s="93" t="s">
        <v>370</v>
      </c>
      <c r="D98" s="93" t="s">
        <v>268</v>
      </c>
      <c r="E98" s="93" t="s">
        <v>273</v>
      </c>
      <c r="F98" s="93" t="s">
        <v>13</v>
      </c>
      <c r="G98" s="15" t="s">
        <v>831</v>
      </c>
      <c r="H98" s="63">
        <v>9980</v>
      </c>
      <c r="I98" s="92" t="s">
        <v>1679</v>
      </c>
      <c r="J98" s="91">
        <v>8000</v>
      </c>
    </row>
    <row r="99" spans="1:10" ht="20.100000000000001" customHeight="1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</row>
    <row r="100" spans="1:10" ht="39.950000000000003" customHeight="1" x14ac:dyDescent="0.25">
      <c r="A100" s="117" t="s">
        <v>1728</v>
      </c>
      <c r="B100" s="118"/>
      <c r="C100" s="118"/>
      <c r="D100" s="118"/>
      <c r="E100" s="118"/>
      <c r="F100" s="118"/>
      <c r="G100" s="118"/>
      <c r="H100" s="118"/>
      <c r="I100" s="118"/>
      <c r="J100" s="118"/>
    </row>
    <row r="101" spans="1:10" ht="30" customHeight="1" x14ac:dyDescent="0.25">
      <c r="A101" s="43"/>
      <c r="B101" s="39" t="s">
        <v>2</v>
      </c>
      <c r="C101" s="4" t="s">
        <v>48</v>
      </c>
      <c r="D101" s="4" t="s">
        <v>49</v>
      </c>
      <c r="E101" s="39" t="s">
        <v>9</v>
      </c>
      <c r="F101" s="39" t="s">
        <v>10</v>
      </c>
      <c r="G101" s="4" t="s">
        <v>11</v>
      </c>
      <c r="H101" s="4" t="s">
        <v>17</v>
      </c>
      <c r="I101" s="4" t="s">
        <v>12</v>
      </c>
      <c r="J101" s="4" t="s">
        <v>18</v>
      </c>
    </row>
    <row r="102" spans="1:10" s="94" customFormat="1" ht="39.950000000000003" customHeight="1" x14ac:dyDescent="0.25">
      <c r="A102" s="119"/>
      <c r="B102" s="32" t="s">
        <v>1176</v>
      </c>
      <c r="C102" s="93" t="s">
        <v>263</v>
      </c>
      <c r="D102" s="93" t="s">
        <v>266</v>
      </c>
      <c r="E102" s="93" t="s">
        <v>273</v>
      </c>
      <c r="F102" s="93" t="s">
        <v>13</v>
      </c>
      <c r="G102" s="15" t="s">
        <v>1179</v>
      </c>
      <c r="H102" s="98">
        <v>15580</v>
      </c>
      <c r="I102" s="92" t="s">
        <v>1679</v>
      </c>
      <c r="J102" s="91">
        <v>12400</v>
      </c>
    </row>
    <row r="103" spans="1:10" s="94" customFormat="1" ht="39.950000000000003" customHeight="1" x14ac:dyDescent="0.25">
      <c r="A103" s="119"/>
      <c r="B103" s="32" t="s">
        <v>1177</v>
      </c>
      <c r="C103" s="93" t="s">
        <v>262</v>
      </c>
      <c r="D103" s="93" t="s">
        <v>267</v>
      </c>
      <c r="E103" s="93" t="s">
        <v>273</v>
      </c>
      <c r="F103" s="93" t="s">
        <v>13</v>
      </c>
      <c r="G103" s="15" t="s">
        <v>1179</v>
      </c>
      <c r="H103" s="98">
        <v>15580</v>
      </c>
      <c r="I103" s="92" t="s">
        <v>1679</v>
      </c>
      <c r="J103" s="91">
        <v>12400</v>
      </c>
    </row>
    <row r="104" spans="1:10" s="94" customFormat="1" ht="39.950000000000003" customHeight="1" x14ac:dyDescent="0.25">
      <c r="A104" s="119"/>
      <c r="B104" s="32" t="s">
        <v>1178</v>
      </c>
      <c r="C104" s="93" t="s">
        <v>370</v>
      </c>
      <c r="D104" s="93" t="s">
        <v>268</v>
      </c>
      <c r="E104" s="93" t="s">
        <v>273</v>
      </c>
      <c r="F104" s="93" t="s">
        <v>13</v>
      </c>
      <c r="G104" s="15" t="s">
        <v>1179</v>
      </c>
      <c r="H104" s="98">
        <v>15580</v>
      </c>
      <c r="I104" s="92" t="s">
        <v>1679</v>
      </c>
      <c r="J104" s="91">
        <v>12400</v>
      </c>
    </row>
    <row r="105" spans="1:10" ht="20.100000000000001" customHeight="1" x14ac:dyDescent="0.25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</row>
    <row r="106" spans="1:10" ht="39.950000000000003" customHeight="1" x14ac:dyDescent="0.25">
      <c r="A106" s="117" t="s">
        <v>1729</v>
      </c>
      <c r="B106" s="118"/>
      <c r="C106" s="118"/>
      <c r="D106" s="118"/>
      <c r="E106" s="118"/>
      <c r="F106" s="118"/>
      <c r="G106" s="118"/>
      <c r="H106" s="118"/>
      <c r="I106" s="118"/>
      <c r="J106" s="118"/>
    </row>
    <row r="107" spans="1:10" ht="30" customHeight="1" x14ac:dyDescent="0.25">
      <c r="A107" s="43"/>
      <c r="B107" s="39" t="s">
        <v>2</v>
      </c>
      <c r="C107" s="4" t="s">
        <v>48</v>
      </c>
      <c r="D107" s="4" t="s">
        <v>49</v>
      </c>
      <c r="E107" s="39" t="s">
        <v>9</v>
      </c>
      <c r="F107" s="39" t="s">
        <v>10</v>
      </c>
      <c r="G107" s="4" t="s">
        <v>11</v>
      </c>
      <c r="H107" s="4" t="s">
        <v>17</v>
      </c>
      <c r="I107" s="4" t="s">
        <v>12</v>
      </c>
      <c r="J107" s="4" t="s">
        <v>18</v>
      </c>
    </row>
    <row r="108" spans="1:10" s="94" customFormat="1" ht="39.950000000000003" customHeight="1" x14ac:dyDescent="0.25">
      <c r="A108" s="119"/>
      <c r="B108" s="32" t="s">
        <v>1180</v>
      </c>
      <c r="C108" s="93" t="s">
        <v>263</v>
      </c>
      <c r="D108" s="93" t="s">
        <v>266</v>
      </c>
      <c r="E108" s="93" t="s">
        <v>273</v>
      </c>
      <c r="F108" s="93" t="s">
        <v>13</v>
      </c>
      <c r="G108" s="15" t="s">
        <v>1179</v>
      </c>
      <c r="H108" s="98">
        <v>19690</v>
      </c>
      <c r="I108" s="92" t="s">
        <v>1679</v>
      </c>
      <c r="J108" s="91">
        <v>15700</v>
      </c>
    </row>
    <row r="109" spans="1:10" s="94" customFormat="1" ht="39.950000000000003" customHeight="1" x14ac:dyDescent="0.25">
      <c r="A109" s="119"/>
      <c r="B109" s="32" t="s">
        <v>1181</v>
      </c>
      <c r="C109" s="93" t="s">
        <v>262</v>
      </c>
      <c r="D109" s="93" t="s">
        <v>267</v>
      </c>
      <c r="E109" s="93" t="s">
        <v>273</v>
      </c>
      <c r="F109" s="93" t="s">
        <v>13</v>
      </c>
      <c r="G109" s="15" t="s">
        <v>1179</v>
      </c>
      <c r="H109" s="98">
        <v>19690</v>
      </c>
      <c r="I109" s="92" t="s">
        <v>1679</v>
      </c>
      <c r="J109" s="91">
        <v>15700</v>
      </c>
    </row>
    <row r="110" spans="1:10" s="94" customFormat="1" ht="39.950000000000003" customHeight="1" x14ac:dyDescent="0.25">
      <c r="A110" s="119"/>
      <c r="B110" s="32" t="s">
        <v>1182</v>
      </c>
      <c r="C110" s="93" t="s">
        <v>370</v>
      </c>
      <c r="D110" s="93" t="s">
        <v>268</v>
      </c>
      <c r="E110" s="93" t="s">
        <v>273</v>
      </c>
      <c r="F110" s="93" t="s">
        <v>13</v>
      </c>
      <c r="G110" s="15" t="s">
        <v>1179</v>
      </c>
      <c r="H110" s="98">
        <v>19690</v>
      </c>
      <c r="I110" s="92" t="s">
        <v>1679</v>
      </c>
      <c r="J110" s="91">
        <v>15700</v>
      </c>
    </row>
    <row r="111" spans="1:10" ht="20.100000000000001" customHeight="1" x14ac:dyDescent="0.25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</row>
    <row r="112" spans="1:10" ht="39.950000000000003" customHeight="1" x14ac:dyDescent="0.25">
      <c r="A112" s="117" t="s">
        <v>1730</v>
      </c>
      <c r="B112" s="118"/>
      <c r="C112" s="118"/>
      <c r="D112" s="118"/>
      <c r="E112" s="118"/>
      <c r="F112" s="118"/>
      <c r="G112" s="118"/>
      <c r="H112" s="118"/>
      <c r="I112" s="118"/>
      <c r="J112" s="118"/>
    </row>
    <row r="113" spans="1:10" ht="30" customHeight="1" x14ac:dyDescent="0.25">
      <c r="A113" s="43"/>
      <c r="B113" s="39" t="s">
        <v>2</v>
      </c>
      <c r="C113" s="4" t="s">
        <v>48</v>
      </c>
      <c r="D113" s="4" t="s">
        <v>49</v>
      </c>
      <c r="E113" s="39" t="s">
        <v>9</v>
      </c>
      <c r="F113" s="39" t="s">
        <v>10</v>
      </c>
      <c r="G113" s="4" t="s">
        <v>11</v>
      </c>
      <c r="H113" s="4" t="s">
        <v>17</v>
      </c>
      <c r="I113" s="4" t="s">
        <v>12</v>
      </c>
      <c r="J113" s="4" t="s">
        <v>18</v>
      </c>
    </row>
    <row r="114" spans="1:10" s="94" customFormat="1" ht="39.950000000000003" customHeight="1" x14ac:dyDescent="0.25">
      <c r="A114" s="119"/>
      <c r="B114" s="32" t="s">
        <v>1183</v>
      </c>
      <c r="C114" s="93" t="s">
        <v>263</v>
      </c>
      <c r="D114" s="93" t="s">
        <v>266</v>
      </c>
      <c r="E114" s="93" t="s">
        <v>273</v>
      </c>
      <c r="F114" s="93" t="s">
        <v>13</v>
      </c>
      <c r="G114" s="15" t="s">
        <v>1179</v>
      </c>
      <c r="H114" s="98">
        <v>24750</v>
      </c>
      <c r="I114" s="92" t="s">
        <v>1679</v>
      </c>
      <c r="J114" s="91">
        <v>19800</v>
      </c>
    </row>
    <row r="115" spans="1:10" s="94" customFormat="1" ht="39.950000000000003" customHeight="1" x14ac:dyDescent="0.25">
      <c r="A115" s="119"/>
      <c r="B115" s="32" t="s">
        <v>1184</v>
      </c>
      <c r="C115" s="93" t="s">
        <v>262</v>
      </c>
      <c r="D115" s="93" t="s">
        <v>267</v>
      </c>
      <c r="E115" s="93" t="s">
        <v>273</v>
      </c>
      <c r="F115" s="93" t="s">
        <v>13</v>
      </c>
      <c r="G115" s="15" t="s">
        <v>1179</v>
      </c>
      <c r="H115" s="98">
        <v>24750</v>
      </c>
      <c r="I115" s="92" t="s">
        <v>1679</v>
      </c>
      <c r="J115" s="91">
        <v>19800</v>
      </c>
    </row>
    <row r="116" spans="1:10" s="94" customFormat="1" ht="39.950000000000003" customHeight="1" x14ac:dyDescent="0.25">
      <c r="A116" s="119"/>
      <c r="B116" s="32" t="s">
        <v>1185</v>
      </c>
      <c r="C116" s="93" t="s">
        <v>370</v>
      </c>
      <c r="D116" s="93" t="s">
        <v>268</v>
      </c>
      <c r="E116" s="93" t="s">
        <v>273</v>
      </c>
      <c r="F116" s="93" t="s">
        <v>13</v>
      </c>
      <c r="G116" s="15" t="s">
        <v>1179</v>
      </c>
      <c r="H116" s="98">
        <v>24750</v>
      </c>
      <c r="I116" s="92" t="s">
        <v>1679</v>
      </c>
      <c r="J116" s="91">
        <v>19800</v>
      </c>
    </row>
    <row r="117" spans="1:10" ht="20.100000000000001" customHeight="1" x14ac:dyDescent="0.25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</row>
    <row r="118" spans="1:10" ht="39.950000000000003" customHeight="1" x14ac:dyDescent="0.25">
      <c r="A118" s="117" t="s">
        <v>1731</v>
      </c>
      <c r="B118" s="118"/>
      <c r="C118" s="118"/>
      <c r="D118" s="118"/>
      <c r="E118" s="118"/>
      <c r="F118" s="118"/>
      <c r="G118" s="118"/>
      <c r="H118" s="118"/>
      <c r="I118" s="118"/>
      <c r="J118" s="118"/>
    </row>
    <row r="119" spans="1:10" ht="30" customHeight="1" x14ac:dyDescent="0.25">
      <c r="A119" s="43"/>
      <c r="B119" s="39" t="s">
        <v>2</v>
      </c>
      <c r="C119" s="4" t="s">
        <v>48</v>
      </c>
      <c r="D119" s="4" t="s">
        <v>49</v>
      </c>
      <c r="E119" s="39" t="s">
        <v>9</v>
      </c>
      <c r="F119" s="39" t="s">
        <v>10</v>
      </c>
      <c r="G119" s="4" t="s">
        <v>11</v>
      </c>
      <c r="H119" s="4" t="s">
        <v>17</v>
      </c>
      <c r="I119" s="4" t="s">
        <v>12</v>
      </c>
      <c r="J119" s="4" t="s">
        <v>18</v>
      </c>
    </row>
    <row r="120" spans="1:10" s="94" customFormat="1" ht="39.950000000000003" customHeight="1" x14ac:dyDescent="0.25">
      <c r="A120" s="119"/>
      <c r="B120" s="32" t="s">
        <v>1186</v>
      </c>
      <c r="C120" s="93" t="s">
        <v>263</v>
      </c>
      <c r="D120" s="93" t="s">
        <v>266</v>
      </c>
      <c r="E120" s="93" t="s">
        <v>273</v>
      </c>
      <c r="F120" s="93" t="s">
        <v>13</v>
      </c>
      <c r="G120" s="15" t="s">
        <v>1179</v>
      </c>
      <c r="H120" s="98">
        <v>27000</v>
      </c>
      <c r="I120" s="92" t="s">
        <v>1679</v>
      </c>
      <c r="J120" s="91">
        <v>21600</v>
      </c>
    </row>
    <row r="121" spans="1:10" s="94" customFormat="1" ht="39.950000000000003" customHeight="1" x14ac:dyDescent="0.25">
      <c r="A121" s="119"/>
      <c r="B121" s="32" t="s">
        <v>1187</v>
      </c>
      <c r="C121" s="93" t="s">
        <v>262</v>
      </c>
      <c r="D121" s="93" t="s">
        <v>267</v>
      </c>
      <c r="E121" s="93" t="s">
        <v>273</v>
      </c>
      <c r="F121" s="93" t="s">
        <v>13</v>
      </c>
      <c r="G121" s="15" t="s">
        <v>1179</v>
      </c>
      <c r="H121" s="98">
        <v>27000</v>
      </c>
      <c r="I121" s="92" t="s">
        <v>1679</v>
      </c>
      <c r="J121" s="91">
        <v>21600</v>
      </c>
    </row>
    <row r="122" spans="1:10" s="94" customFormat="1" ht="39.950000000000003" customHeight="1" x14ac:dyDescent="0.25">
      <c r="A122" s="119"/>
      <c r="B122" s="32" t="s">
        <v>1188</v>
      </c>
      <c r="C122" s="93" t="s">
        <v>370</v>
      </c>
      <c r="D122" s="93" t="s">
        <v>268</v>
      </c>
      <c r="E122" s="93" t="s">
        <v>273</v>
      </c>
      <c r="F122" s="93" t="s">
        <v>13</v>
      </c>
      <c r="G122" s="15" t="s">
        <v>1179</v>
      </c>
      <c r="H122" s="98">
        <v>27000</v>
      </c>
      <c r="I122" s="92" t="s">
        <v>1679</v>
      </c>
      <c r="J122" s="91">
        <v>21600</v>
      </c>
    </row>
    <row r="123" spans="1:10" ht="20.100000000000001" customHeight="1" x14ac:dyDescent="0.2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</row>
    <row r="124" spans="1:10" ht="39.950000000000003" customHeight="1" x14ac:dyDescent="0.25">
      <c r="A124" s="117" t="s">
        <v>1732</v>
      </c>
      <c r="B124" s="118"/>
      <c r="C124" s="118"/>
      <c r="D124" s="118"/>
      <c r="E124" s="118"/>
      <c r="F124" s="118"/>
      <c r="G124" s="118"/>
      <c r="H124" s="118"/>
      <c r="I124" s="118"/>
      <c r="J124" s="118"/>
    </row>
    <row r="125" spans="1:10" ht="30" customHeight="1" x14ac:dyDescent="0.25">
      <c r="A125" s="43"/>
      <c r="B125" s="39" t="s">
        <v>2</v>
      </c>
      <c r="C125" s="4" t="s">
        <v>48</v>
      </c>
      <c r="D125" s="4" t="s">
        <v>49</v>
      </c>
      <c r="E125" s="39" t="s">
        <v>9</v>
      </c>
      <c r="F125" s="39" t="s">
        <v>10</v>
      </c>
      <c r="G125" s="4" t="s">
        <v>11</v>
      </c>
      <c r="H125" s="4" t="s">
        <v>17</v>
      </c>
      <c r="I125" s="4" t="s">
        <v>12</v>
      </c>
      <c r="J125" s="4" t="s">
        <v>18</v>
      </c>
    </row>
    <row r="126" spans="1:10" s="94" customFormat="1" ht="39.950000000000003" customHeight="1" x14ac:dyDescent="0.25">
      <c r="A126" s="119"/>
      <c r="B126" s="32" t="s">
        <v>1189</v>
      </c>
      <c r="C126" s="93" t="s">
        <v>263</v>
      </c>
      <c r="D126" s="93" t="s">
        <v>266</v>
      </c>
      <c r="E126" s="93" t="s">
        <v>273</v>
      </c>
      <c r="F126" s="93" t="s">
        <v>13</v>
      </c>
      <c r="G126" s="15" t="s">
        <v>1179</v>
      </c>
      <c r="H126" s="98">
        <v>27000</v>
      </c>
      <c r="I126" s="92" t="s">
        <v>1679</v>
      </c>
      <c r="J126" s="91">
        <v>21600</v>
      </c>
    </row>
    <row r="127" spans="1:10" s="94" customFormat="1" ht="39.950000000000003" customHeight="1" x14ac:dyDescent="0.25">
      <c r="A127" s="119"/>
      <c r="B127" s="32" t="s">
        <v>1190</v>
      </c>
      <c r="C127" s="93" t="s">
        <v>262</v>
      </c>
      <c r="D127" s="93" t="s">
        <v>267</v>
      </c>
      <c r="E127" s="93" t="s">
        <v>273</v>
      </c>
      <c r="F127" s="93" t="s">
        <v>13</v>
      </c>
      <c r="G127" s="15" t="s">
        <v>1179</v>
      </c>
      <c r="H127" s="98">
        <v>27000</v>
      </c>
      <c r="I127" s="92" t="s">
        <v>1679</v>
      </c>
      <c r="J127" s="91">
        <v>21600</v>
      </c>
    </row>
    <row r="128" spans="1:10" s="94" customFormat="1" ht="39.950000000000003" customHeight="1" x14ac:dyDescent="0.25">
      <c r="A128" s="119"/>
      <c r="B128" s="32" t="s">
        <v>1191</v>
      </c>
      <c r="C128" s="93" t="s">
        <v>370</v>
      </c>
      <c r="D128" s="93" t="s">
        <v>268</v>
      </c>
      <c r="E128" s="93" t="s">
        <v>273</v>
      </c>
      <c r="F128" s="93" t="s">
        <v>13</v>
      </c>
      <c r="G128" s="15" t="s">
        <v>1179</v>
      </c>
      <c r="H128" s="98">
        <v>27000</v>
      </c>
      <c r="I128" s="92" t="s">
        <v>1679</v>
      </c>
      <c r="J128" s="91">
        <v>21600</v>
      </c>
    </row>
    <row r="129" spans="1:10" ht="20.100000000000001" customHeight="1" x14ac:dyDescent="0.25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</row>
    <row r="130" spans="1:10" ht="39.950000000000003" customHeight="1" x14ac:dyDescent="0.25">
      <c r="A130" s="117" t="s">
        <v>1733</v>
      </c>
      <c r="B130" s="118"/>
      <c r="C130" s="118"/>
      <c r="D130" s="118"/>
      <c r="E130" s="118"/>
      <c r="F130" s="118"/>
      <c r="G130" s="118"/>
      <c r="H130" s="118"/>
      <c r="I130" s="118"/>
      <c r="J130" s="118"/>
    </row>
    <row r="131" spans="1:10" ht="30" customHeight="1" x14ac:dyDescent="0.25">
      <c r="A131" s="43"/>
      <c r="B131" s="39" t="s">
        <v>2</v>
      </c>
      <c r="C131" s="4" t="s">
        <v>48</v>
      </c>
      <c r="D131" s="4" t="s">
        <v>49</v>
      </c>
      <c r="E131" s="39" t="s">
        <v>9</v>
      </c>
      <c r="F131" s="39" t="s">
        <v>10</v>
      </c>
      <c r="G131" s="4" t="s">
        <v>11</v>
      </c>
      <c r="H131" s="4" t="s">
        <v>17</v>
      </c>
      <c r="I131" s="4" t="s">
        <v>12</v>
      </c>
      <c r="J131" s="4" t="s">
        <v>18</v>
      </c>
    </row>
    <row r="132" spans="1:10" s="94" customFormat="1" ht="39.950000000000003" customHeight="1" x14ac:dyDescent="0.25">
      <c r="A132" s="119"/>
      <c r="B132" s="32" t="s">
        <v>1192</v>
      </c>
      <c r="C132" s="93" t="s">
        <v>263</v>
      </c>
      <c r="D132" s="93" t="s">
        <v>266</v>
      </c>
      <c r="E132" s="93" t="s">
        <v>273</v>
      </c>
      <c r="F132" s="93" t="s">
        <v>13</v>
      </c>
      <c r="G132" s="15" t="s">
        <v>1179</v>
      </c>
      <c r="H132" s="98">
        <v>24750</v>
      </c>
      <c r="I132" s="92" t="s">
        <v>1679</v>
      </c>
      <c r="J132" s="91">
        <v>19800</v>
      </c>
    </row>
    <row r="133" spans="1:10" s="94" customFormat="1" ht="39.950000000000003" customHeight="1" x14ac:dyDescent="0.25">
      <c r="A133" s="119"/>
      <c r="B133" s="32" t="s">
        <v>1193</v>
      </c>
      <c r="C133" s="93" t="s">
        <v>262</v>
      </c>
      <c r="D133" s="93" t="s">
        <v>267</v>
      </c>
      <c r="E133" s="93" t="s">
        <v>273</v>
      </c>
      <c r="F133" s="93" t="s">
        <v>13</v>
      </c>
      <c r="G133" s="15" t="s">
        <v>1179</v>
      </c>
      <c r="H133" s="98">
        <v>24750</v>
      </c>
      <c r="I133" s="92" t="s">
        <v>1679</v>
      </c>
      <c r="J133" s="91">
        <v>19800</v>
      </c>
    </row>
    <row r="134" spans="1:10" s="94" customFormat="1" ht="39.950000000000003" customHeight="1" x14ac:dyDescent="0.25">
      <c r="A134" s="119"/>
      <c r="B134" s="32" t="s">
        <v>1194</v>
      </c>
      <c r="C134" s="93" t="s">
        <v>370</v>
      </c>
      <c r="D134" s="93" t="s">
        <v>268</v>
      </c>
      <c r="E134" s="93" t="s">
        <v>273</v>
      </c>
      <c r="F134" s="93" t="s">
        <v>13</v>
      </c>
      <c r="G134" s="15" t="s">
        <v>1179</v>
      </c>
      <c r="H134" s="98">
        <v>24750</v>
      </c>
      <c r="I134" s="92" t="s">
        <v>1679</v>
      </c>
      <c r="J134" s="91">
        <v>19800</v>
      </c>
    </row>
    <row r="135" spans="1:10" ht="20.100000000000001" customHeight="1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</row>
    <row r="136" spans="1:10" ht="39.950000000000003" customHeight="1" x14ac:dyDescent="0.25">
      <c r="A136" s="117" t="s">
        <v>1737</v>
      </c>
      <c r="B136" s="118"/>
      <c r="C136" s="118"/>
      <c r="D136" s="118"/>
      <c r="E136" s="118"/>
      <c r="F136" s="118"/>
      <c r="G136" s="118"/>
      <c r="H136" s="118"/>
      <c r="I136" s="118"/>
      <c r="J136" s="118"/>
    </row>
    <row r="137" spans="1:10" ht="30" customHeight="1" x14ac:dyDescent="0.25">
      <c r="A137" s="43"/>
      <c r="B137" s="39" t="s">
        <v>2</v>
      </c>
      <c r="C137" s="4" t="s">
        <v>48</v>
      </c>
      <c r="D137" s="4" t="s">
        <v>49</v>
      </c>
      <c r="E137" s="39" t="s">
        <v>9</v>
      </c>
      <c r="F137" s="39" t="s">
        <v>10</v>
      </c>
      <c r="G137" s="4" t="s">
        <v>11</v>
      </c>
      <c r="H137" s="4" t="s">
        <v>17</v>
      </c>
      <c r="I137" s="4" t="s">
        <v>12</v>
      </c>
      <c r="J137" s="4" t="s">
        <v>18</v>
      </c>
    </row>
    <row r="138" spans="1:10" s="94" customFormat="1" ht="39.950000000000003" customHeight="1" x14ac:dyDescent="0.25">
      <c r="A138" s="119"/>
      <c r="B138" s="100" t="s">
        <v>1734</v>
      </c>
      <c r="C138" s="93" t="s">
        <v>263</v>
      </c>
      <c r="D138" s="93" t="s">
        <v>266</v>
      </c>
      <c r="E138" s="93" t="s">
        <v>273</v>
      </c>
      <c r="F138" s="93" t="s">
        <v>13</v>
      </c>
      <c r="G138" s="15" t="s">
        <v>1738</v>
      </c>
      <c r="H138" s="98">
        <v>31800</v>
      </c>
      <c r="I138" s="92" t="s">
        <v>1679</v>
      </c>
      <c r="J138" s="91">
        <v>25400</v>
      </c>
    </row>
    <row r="139" spans="1:10" s="94" customFormat="1" ht="39.950000000000003" customHeight="1" x14ac:dyDescent="0.25">
      <c r="A139" s="119"/>
      <c r="B139" s="100" t="s">
        <v>1735</v>
      </c>
      <c r="C139" s="93" t="s">
        <v>262</v>
      </c>
      <c r="D139" s="93" t="s">
        <v>267</v>
      </c>
      <c r="E139" s="93" t="s">
        <v>273</v>
      </c>
      <c r="F139" s="93" t="s">
        <v>13</v>
      </c>
      <c r="G139" s="15" t="s">
        <v>1738</v>
      </c>
      <c r="H139" s="98">
        <v>31800</v>
      </c>
      <c r="I139" s="92" t="s">
        <v>1679</v>
      </c>
      <c r="J139" s="91">
        <v>25400</v>
      </c>
    </row>
    <row r="140" spans="1:10" s="94" customFormat="1" ht="39.950000000000003" customHeight="1" x14ac:dyDescent="0.25">
      <c r="A140" s="119"/>
      <c r="B140" s="100" t="s">
        <v>1736</v>
      </c>
      <c r="C140" s="93" t="s">
        <v>370</v>
      </c>
      <c r="D140" s="93" t="s">
        <v>268</v>
      </c>
      <c r="E140" s="93" t="s">
        <v>273</v>
      </c>
      <c r="F140" s="93" t="s">
        <v>13</v>
      </c>
      <c r="G140" s="15" t="s">
        <v>1738</v>
      </c>
      <c r="H140" s="98">
        <v>31800</v>
      </c>
      <c r="I140" s="92" t="s">
        <v>1679</v>
      </c>
      <c r="J140" s="91">
        <v>25400</v>
      </c>
    </row>
    <row r="141" spans="1:10" ht="20.100000000000001" customHeight="1" x14ac:dyDescent="0.25">
      <c r="A141" s="158"/>
      <c r="B141" s="158"/>
      <c r="C141" s="158"/>
      <c r="D141" s="158"/>
      <c r="E141" s="158"/>
      <c r="F141" s="158"/>
      <c r="G141" s="158"/>
      <c r="H141" s="158"/>
      <c r="I141" s="158"/>
      <c r="J141" s="158"/>
    </row>
    <row r="142" spans="1:10" ht="20.100000000000001" customHeight="1" x14ac:dyDescent="0.25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</row>
    <row r="143" spans="1:10" ht="39.950000000000003" customHeight="1" x14ac:dyDescent="0.25">
      <c r="A143" s="117" t="s">
        <v>1739</v>
      </c>
      <c r="B143" s="118"/>
      <c r="C143" s="118"/>
      <c r="D143" s="118"/>
      <c r="E143" s="118"/>
      <c r="F143" s="118"/>
      <c r="G143" s="118"/>
      <c r="H143" s="118"/>
      <c r="I143" s="118"/>
      <c r="J143" s="118"/>
    </row>
    <row r="144" spans="1:10" ht="30" customHeight="1" x14ac:dyDescent="0.25">
      <c r="A144" s="66"/>
      <c r="B144" s="39" t="s">
        <v>2</v>
      </c>
      <c r="C144" s="4" t="s">
        <v>48</v>
      </c>
      <c r="D144" s="4" t="s">
        <v>49</v>
      </c>
      <c r="E144" s="39" t="s">
        <v>9</v>
      </c>
      <c r="F144" s="39" t="s">
        <v>10</v>
      </c>
      <c r="G144" s="4" t="s">
        <v>11</v>
      </c>
      <c r="H144" s="4" t="s">
        <v>17</v>
      </c>
      <c r="I144" s="4" t="s">
        <v>12</v>
      </c>
      <c r="J144" s="4" t="s">
        <v>18</v>
      </c>
    </row>
    <row r="145" spans="1:10" s="94" customFormat="1" ht="39.950000000000003" customHeight="1" x14ac:dyDescent="0.25">
      <c r="A145" s="119"/>
      <c r="B145" s="100" t="s">
        <v>1740</v>
      </c>
      <c r="C145" s="93" t="s">
        <v>263</v>
      </c>
      <c r="D145" s="93" t="s">
        <v>266</v>
      </c>
      <c r="E145" s="93" t="s">
        <v>273</v>
      </c>
      <c r="F145" s="93" t="s">
        <v>13</v>
      </c>
      <c r="G145" s="15" t="s">
        <v>1738</v>
      </c>
      <c r="H145" s="98">
        <v>32900</v>
      </c>
      <c r="I145" s="92" t="s">
        <v>1679</v>
      </c>
      <c r="J145" s="91">
        <v>26300</v>
      </c>
    </row>
    <row r="146" spans="1:10" s="94" customFormat="1" ht="39.950000000000003" customHeight="1" x14ac:dyDescent="0.25">
      <c r="A146" s="119"/>
      <c r="B146" s="100" t="s">
        <v>1741</v>
      </c>
      <c r="C146" s="93" t="s">
        <v>262</v>
      </c>
      <c r="D146" s="93" t="s">
        <v>267</v>
      </c>
      <c r="E146" s="93" t="s">
        <v>273</v>
      </c>
      <c r="F146" s="93" t="s">
        <v>13</v>
      </c>
      <c r="G146" s="15" t="s">
        <v>1738</v>
      </c>
      <c r="H146" s="98">
        <v>32900</v>
      </c>
      <c r="I146" s="92" t="s">
        <v>1679</v>
      </c>
      <c r="J146" s="91">
        <v>26300</v>
      </c>
    </row>
    <row r="147" spans="1:10" s="94" customFormat="1" ht="39.950000000000003" customHeight="1" x14ac:dyDescent="0.25">
      <c r="A147" s="119"/>
      <c r="B147" s="100" t="s">
        <v>1742</v>
      </c>
      <c r="C147" s="93" t="s">
        <v>370</v>
      </c>
      <c r="D147" s="93" t="s">
        <v>268</v>
      </c>
      <c r="E147" s="93" t="s">
        <v>273</v>
      </c>
      <c r="F147" s="93" t="s">
        <v>13</v>
      </c>
      <c r="G147" s="15" t="s">
        <v>1738</v>
      </c>
      <c r="H147" s="98">
        <v>32900</v>
      </c>
      <c r="I147" s="92" t="s">
        <v>1679</v>
      </c>
      <c r="J147" s="91">
        <v>26300</v>
      </c>
    </row>
    <row r="148" spans="1:10" ht="20.100000000000001" customHeight="1" x14ac:dyDescent="0.25">
      <c r="A148" s="158"/>
      <c r="B148" s="158"/>
      <c r="C148" s="158"/>
      <c r="D148" s="158"/>
      <c r="E148" s="158"/>
      <c r="F148" s="158"/>
      <c r="G148" s="158"/>
      <c r="H148" s="158"/>
      <c r="I148" s="158"/>
      <c r="J148" s="158"/>
    </row>
    <row r="149" spans="1:10" ht="39.950000000000003" customHeight="1" x14ac:dyDescent="0.25">
      <c r="A149" s="117" t="s">
        <v>1743</v>
      </c>
      <c r="B149" s="118"/>
      <c r="C149" s="118"/>
      <c r="D149" s="118"/>
      <c r="E149" s="118"/>
      <c r="F149" s="118"/>
      <c r="G149" s="118"/>
      <c r="H149" s="118"/>
      <c r="I149" s="118"/>
      <c r="J149" s="118"/>
    </row>
    <row r="150" spans="1:10" ht="30" customHeight="1" x14ac:dyDescent="0.25">
      <c r="A150" s="5"/>
      <c r="B150" s="3" t="s">
        <v>2</v>
      </c>
      <c r="C150" s="4" t="s">
        <v>48</v>
      </c>
      <c r="D150" s="4" t="s">
        <v>49</v>
      </c>
      <c r="E150" s="3" t="s">
        <v>9</v>
      </c>
      <c r="F150" s="3" t="s">
        <v>10</v>
      </c>
      <c r="G150" s="4" t="s">
        <v>11</v>
      </c>
      <c r="H150" s="4" t="s">
        <v>17</v>
      </c>
      <c r="I150" s="4" t="s">
        <v>12</v>
      </c>
      <c r="J150" s="4" t="s">
        <v>18</v>
      </c>
    </row>
    <row r="151" spans="1:10" s="94" customFormat="1" ht="39.950000000000003" customHeight="1" x14ac:dyDescent="0.25">
      <c r="A151" s="119"/>
      <c r="B151" s="32" t="s">
        <v>841</v>
      </c>
      <c r="C151" s="93" t="s">
        <v>263</v>
      </c>
      <c r="D151" s="93" t="s">
        <v>266</v>
      </c>
      <c r="E151" s="93" t="s">
        <v>273</v>
      </c>
      <c r="F151" s="93" t="s">
        <v>13</v>
      </c>
      <c r="G151" s="15" t="s">
        <v>831</v>
      </c>
      <c r="H151" s="98">
        <v>23760</v>
      </c>
      <c r="I151" s="92" t="s">
        <v>1679</v>
      </c>
      <c r="J151" s="91">
        <v>19000</v>
      </c>
    </row>
    <row r="152" spans="1:10" s="94" customFormat="1" ht="39.950000000000003" customHeight="1" x14ac:dyDescent="0.25">
      <c r="A152" s="119"/>
      <c r="B152" s="32" t="s">
        <v>842</v>
      </c>
      <c r="C152" s="93" t="s">
        <v>262</v>
      </c>
      <c r="D152" s="93" t="s">
        <v>267</v>
      </c>
      <c r="E152" s="93" t="s">
        <v>273</v>
      </c>
      <c r="F152" s="93" t="s">
        <v>13</v>
      </c>
      <c r="G152" s="15" t="s">
        <v>831</v>
      </c>
      <c r="H152" s="98">
        <v>23760</v>
      </c>
      <c r="I152" s="92" t="s">
        <v>1679</v>
      </c>
      <c r="J152" s="91">
        <v>19000</v>
      </c>
    </row>
    <row r="153" spans="1:10" s="94" customFormat="1" ht="39.950000000000003" customHeight="1" x14ac:dyDescent="0.25">
      <c r="A153" s="119"/>
      <c r="B153" s="32" t="s">
        <v>843</v>
      </c>
      <c r="C153" s="93" t="s">
        <v>370</v>
      </c>
      <c r="D153" s="93" t="s">
        <v>268</v>
      </c>
      <c r="E153" s="93" t="s">
        <v>273</v>
      </c>
      <c r="F153" s="93" t="s">
        <v>13</v>
      </c>
      <c r="G153" s="15" t="s">
        <v>831</v>
      </c>
      <c r="H153" s="98">
        <v>23760</v>
      </c>
      <c r="I153" s="92" t="s">
        <v>1679</v>
      </c>
      <c r="J153" s="91">
        <v>19000</v>
      </c>
    </row>
    <row r="154" spans="1:10" s="94" customFormat="1" ht="39.950000000000003" customHeight="1" x14ac:dyDescent="0.25">
      <c r="A154" s="119"/>
      <c r="B154" s="32" t="s">
        <v>844</v>
      </c>
      <c r="C154" s="93" t="s">
        <v>263</v>
      </c>
      <c r="D154" s="93" t="s">
        <v>266</v>
      </c>
      <c r="E154" s="93" t="s">
        <v>273</v>
      </c>
      <c r="F154" s="93" t="s">
        <v>13</v>
      </c>
      <c r="G154" s="15" t="s">
        <v>831</v>
      </c>
      <c r="H154" s="98">
        <v>26050</v>
      </c>
      <c r="I154" s="92" t="s">
        <v>1679</v>
      </c>
      <c r="J154" s="91">
        <v>20800</v>
      </c>
    </row>
    <row r="155" spans="1:10" s="94" customFormat="1" ht="39.950000000000003" customHeight="1" x14ac:dyDescent="0.25">
      <c r="A155" s="119"/>
      <c r="B155" s="32" t="s">
        <v>845</v>
      </c>
      <c r="C155" s="93" t="s">
        <v>262</v>
      </c>
      <c r="D155" s="93" t="s">
        <v>267</v>
      </c>
      <c r="E155" s="93" t="s">
        <v>273</v>
      </c>
      <c r="F155" s="93" t="s">
        <v>13</v>
      </c>
      <c r="G155" s="15" t="s">
        <v>831</v>
      </c>
      <c r="H155" s="98">
        <v>26050</v>
      </c>
      <c r="I155" s="92" t="s">
        <v>1679</v>
      </c>
      <c r="J155" s="91">
        <v>20800</v>
      </c>
    </row>
    <row r="156" spans="1:10" s="94" customFormat="1" ht="39.950000000000003" customHeight="1" x14ac:dyDescent="0.25">
      <c r="A156" s="119"/>
      <c r="B156" s="32" t="s">
        <v>846</v>
      </c>
      <c r="C156" s="93" t="s">
        <v>370</v>
      </c>
      <c r="D156" s="93" t="s">
        <v>268</v>
      </c>
      <c r="E156" s="93" t="s">
        <v>273</v>
      </c>
      <c r="F156" s="93" t="s">
        <v>13</v>
      </c>
      <c r="G156" s="15" t="s">
        <v>831</v>
      </c>
      <c r="H156" s="98">
        <v>26050</v>
      </c>
      <c r="I156" s="92" t="s">
        <v>1679</v>
      </c>
      <c r="J156" s="91">
        <v>20800</v>
      </c>
    </row>
    <row r="157" spans="1:10" s="94" customFormat="1" ht="20.100000000000001" customHeight="1" x14ac:dyDescent="0.25">
      <c r="A157" s="120" t="s">
        <v>74</v>
      </c>
      <c r="B157" s="120"/>
      <c r="C157" s="120"/>
      <c r="D157" s="120"/>
      <c r="E157" s="120"/>
      <c r="F157" s="120"/>
      <c r="G157" s="120"/>
      <c r="H157" s="120"/>
      <c r="I157" s="120"/>
      <c r="J157" s="120"/>
    </row>
    <row r="158" spans="1:10" s="94" customFormat="1" ht="20.100000000000001" customHeight="1" x14ac:dyDescent="0.25">
      <c r="A158" s="121" t="s">
        <v>853</v>
      </c>
      <c r="B158" s="122"/>
      <c r="C158" s="122"/>
      <c r="D158" s="122"/>
      <c r="E158" s="122"/>
      <c r="F158" s="122"/>
      <c r="G158" s="123"/>
      <c r="H158" s="91">
        <v>7227</v>
      </c>
      <c r="I158" s="92">
        <v>0</v>
      </c>
      <c r="J158" s="91">
        <f>H158</f>
        <v>7227</v>
      </c>
    </row>
    <row r="159" spans="1:10" s="94" customFormat="1" ht="20.100000000000001" customHeight="1" x14ac:dyDescent="0.25">
      <c r="A159" s="121" t="s">
        <v>854</v>
      </c>
      <c r="B159" s="122"/>
      <c r="C159" s="122"/>
      <c r="D159" s="122"/>
      <c r="E159" s="122"/>
      <c r="F159" s="122"/>
      <c r="G159" s="123"/>
      <c r="H159" s="91">
        <v>3619</v>
      </c>
      <c r="I159" s="92">
        <v>0</v>
      </c>
      <c r="J159" s="91">
        <f>H159</f>
        <v>3619</v>
      </c>
    </row>
    <row r="160" spans="1:10" s="94" customFormat="1" ht="20.100000000000001" customHeight="1" x14ac:dyDescent="0.25">
      <c r="A160" s="121" t="s">
        <v>855</v>
      </c>
      <c r="B160" s="122"/>
      <c r="C160" s="122"/>
      <c r="D160" s="122"/>
      <c r="E160" s="122"/>
      <c r="F160" s="122"/>
      <c r="G160" s="123"/>
      <c r="H160" s="91">
        <v>132</v>
      </c>
      <c r="I160" s="92">
        <v>0</v>
      </c>
      <c r="J160" s="91">
        <f>H160</f>
        <v>132</v>
      </c>
    </row>
    <row r="161" spans="1:10" ht="20.100000000000001" customHeight="1" x14ac:dyDescent="0.25">
      <c r="A161" s="158"/>
      <c r="B161" s="158"/>
      <c r="C161" s="158"/>
      <c r="D161" s="158"/>
      <c r="E161" s="158"/>
      <c r="F161" s="158"/>
      <c r="G161" s="158"/>
      <c r="H161" s="158"/>
      <c r="I161" s="158"/>
      <c r="J161" s="158"/>
    </row>
    <row r="162" spans="1:10" ht="39.950000000000003" customHeight="1" x14ac:dyDescent="0.25">
      <c r="A162" s="117" t="s">
        <v>1744</v>
      </c>
      <c r="B162" s="118"/>
      <c r="C162" s="118"/>
      <c r="D162" s="118"/>
      <c r="E162" s="118"/>
      <c r="F162" s="118"/>
      <c r="G162" s="118"/>
      <c r="H162" s="118"/>
      <c r="I162" s="118"/>
      <c r="J162" s="118"/>
    </row>
    <row r="163" spans="1:10" ht="30" customHeight="1" x14ac:dyDescent="0.25">
      <c r="A163" s="5"/>
      <c r="B163" s="3" t="s">
        <v>2</v>
      </c>
      <c r="C163" s="4" t="s">
        <v>48</v>
      </c>
      <c r="D163" s="4" t="s">
        <v>49</v>
      </c>
      <c r="E163" s="3" t="s">
        <v>9</v>
      </c>
      <c r="F163" s="3" t="s">
        <v>10</v>
      </c>
      <c r="G163" s="4" t="s">
        <v>11</v>
      </c>
      <c r="H163" s="4" t="s">
        <v>17</v>
      </c>
      <c r="I163" s="4" t="s">
        <v>12</v>
      </c>
      <c r="J163" s="4" t="s">
        <v>18</v>
      </c>
    </row>
    <row r="164" spans="1:10" s="94" customFormat="1" ht="39.950000000000003" customHeight="1" x14ac:dyDescent="0.25">
      <c r="A164" s="119"/>
      <c r="B164" s="32" t="s">
        <v>847</v>
      </c>
      <c r="C164" s="93" t="s">
        <v>263</v>
      </c>
      <c r="D164" s="93" t="s">
        <v>266</v>
      </c>
      <c r="E164" s="93" t="s">
        <v>273</v>
      </c>
      <c r="F164" s="93" t="s">
        <v>13</v>
      </c>
      <c r="G164" s="15" t="s">
        <v>831</v>
      </c>
      <c r="H164" s="98">
        <v>26480</v>
      </c>
      <c r="I164" s="92" t="s">
        <v>1679</v>
      </c>
      <c r="J164" s="91">
        <v>21200</v>
      </c>
    </row>
    <row r="165" spans="1:10" s="94" customFormat="1" ht="39.950000000000003" customHeight="1" x14ac:dyDescent="0.25">
      <c r="A165" s="119"/>
      <c r="B165" s="32" t="s">
        <v>848</v>
      </c>
      <c r="C165" s="93" t="s">
        <v>262</v>
      </c>
      <c r="D165" s="93" t="s">
        <v>267</v>
      </c>
      <c r="E165" s="93" t="s">
        <v>273</v>
      </c>
      <c r="F165" s="93" t="s">
        <v>13</v>
      </c>
      <c r="G165" s="15" t="s">
        <v>831</v>
      </c>
      <c r="H165" s="98">
        <v>26480</v>
      </c>
      <c r="I165" s="92" t="s">
        <v>1679</v>
      </c>
      <c r="J165" s="91">
        <v>21200</v>
      </c>
    </row>
    <row r="166" spans="1:10" s="94" customFormat="1" ht="39.950000000000003" customHeight="1" x14ac:dyDescent="0.25">
      <c r="A166" s="119"/>
      <c r="B166" s="32" t="s">
        <v>849</v>
      </c>
      <c r="C166" s="93" t="s">
        <v>370</v>
      </c>
      <c r="D166" s="93" t="s">
        <v>268</v>
      </c>
      <c r="E166" s="93" t="s">
        <v>273</v>
      </c>
      <c r="F166" s="93" t="s">
        <v>13</v>
      </c>
      <c r="G166" s="15" t="s">
        <v>831</v>
      </c>
      <c r="H166" s="98">
        <v>26480</v>
      </c>
      <c r="I166" s="92" t="s">
        <v>1679</v>
      </c>
      <c r="J166" s="91">
        <v>21200</v>
      </c>
    </row>
    <row r="167" spans="1:10" s="94" customFormat="1" ht="39.950000000000003" customHeight="1" x14ac:dyDescent="0.25">
      <c r="A167" s="119"/>
      <c r="B167" s="32" t="s">
        <v>850</v>
      </c>
      <c r="C167" s="93" t="s">
        <v>263</v>
      </c>
      <c r="D167" s="93" t="s">
        <v>266</v>
      </c>
      <c r="E167" s="93" t="s">
        <v>273</v>
      </c>
      <c r="F167" s="93" t="s">
        <v>13</v>
      </c>
      <c r="G167" s="15" t="s">
        <v>831</v>
      </c>
      <c r="H167" s="98">
        <v>28780</v>
      </c>
      <c r="I167" s="92" t="s">
        <v>1679</v>
      </c>
      <c r="J167" s="91">
        <v>23000</v>
      </c>
    </row>
    <row r="168" spans="1:10" s="94" customFormat="1" ht="39.950000000000003" customHeight="1" x14ac:dyDescent="0.25">
      <c r="A168" s="119"/>
      <c r="B168" s="32" t="s">
        <v>851</v>
      </c>
      <c r="C168" s="93" t="s">
        <v>262</v>
      </c>
      <c r="D168" s="93" t="s">
        <v>267</v>
      </c>
      <c r="E168" s="93" t="s">
        <v>273</v>
      </c>
      <c r="F168" s="93" t="s">
        <v>13</v>
      </c>
      <c r="G168" s="15" t="s">
        <v>831</v>
      </c>
      <c r="H168" s="98">
        <v>28780</v>
      </c>
      <c r="I168" s="92" t="s">
        <v>1679</v>
      </c>
      <c r="J168" s="91">
        <v>23000</v>
      </c>
    </row>
    <row r="169" spans="1:10" s="94" customFormat="1" ht="39.950000000000003" customHeight="1" x14ac:dyDescent="0.25">
      <c r="A169" s="119"/>
      <c r="B169" s="32" t="s">
        <v>852</v>
      </c>
      <c r="C169" s="93" t="s">
        <v>370</v>
      </c>
      <c r="D169" s="93" t="s">
        <v>268</v>
      </c>
      <c r="E169" s="93" t="s">
        <v>273</v>
      </c>
      <c r="F169" s="93" t="s">
        <v>13</v>
      </c>
      <c r="G169" s="15" t="s">
        <v>831</v>
      </c>
      <c r="H169" s="98">
        <v>28780</v>
      </c>
      <c r="I169" s="92" t="s">
        <v>1679</v>
      </c>
      <c r="J169" s="91">
        <v>23000</v>
      </c>
    </row>
    <row r="170" spans="1:10" s="94" customFormat="1" ht="20.100000000000001" customHeight="1" x14ac:dyDescent="0.25">
      <c r="A170" s="120" t="s">
        <v>74</v>
      </c>
      <c r="B170" s="120"/>
      <c r="C170" s="120"/>
      <c r="D170" s="120"/>
      <c r="E170" s="120"/>
      <c r="F170" s="120"/>
      <c r="G170" s="120"/>
      <c r="H170" s="120"/>
      <c r="I170" s="120"/>
      <c r="J170" s="120"/>
    </row>
    <row r="171" spans="1:10" s="94" customFormat="1" ht="20.100000000000001" customHeight="1" x14ac:dyDescent="0.25">
      <c r="A171" s="121" t="s">
        <v>853</v>
      </c>
      <c r="B171" s="122"/>
      <c r="C171" s="122"/>
      <c r="D171" s="122"/>
      <c r="E171" s="122"/>
      <c r="F171" s="122"/>
      <c r="G171" s="123"/>
      <c r="H171" s="91">
        <v>7227</v>
      </c>
      <c r="I171" s="92">
        <v>0</v>
      </c>
      <c r="J171" s="91">
        <f>H171</f>
        <v>7227</v>
      </c>
    </row>
    <row r="172" spans="1:10" s="94" customFormat="1" ht="20.100000000000001" customHeight="1" x14ac:dyDescent="0.25">
      <c r="A172" s="121" t="s">
        <v>854</v>
      </c>
      <c r="B172" s="122"/>
      <c r="C172" s="122"/>
      <c r="D172" s="122"/>
      <c r="E172" s="122"/>
      <c r="F172" s="122"/>
      <c r="G172" s="123"/>
      <c r="H172" s="91">
        <v>3619</v>
      </c>
      <c r="I172" s="92">
        <v>0</v>
      </c>
      <c r="J172" s="91">
        <f>H172</f>
        <v>3619</v>
      </c>
    </row>
    <row r="173" spans="1:10" s="94" customFormat="1" ht="20.100000000000001" customHeight="1" x14ac:dyDescent="0.25">
      <c r="A173" s="121" t="s">
        <v>855</v>
      </c>
      <c r="B173" s="122"/>
      <c r="C173" s="122"/>
      <c r="D173" s="122"/>
      <c r="E173" s="122"/>
      <c r="F173" s="122"/>
      <c r="G173" s="123"/>
      <c r="H173" s="91">
        <v>132</v>
      </c>
      <c r="I173" s="92">
        <v>0</v>
      </c>
      <c r="J173" s="91">
        <f>H173</f>
        <v>132</v>
      </c>
    </row>
    <row r="174" spans="1:10" ht="20.100000000000001" customHeight="1" x14ac:dyDescent="0.25">
      <c r="A174" s="131"/>
      <c r="B174" s="131"/>
      <c r="C174" s="131"/>
      <c r="D174" s="131"/>
      <c r="E174" s="131"/>
      <c r="F174" s="131"/>
      <c r="G174" s="131"/>
      <c r="H174" s="131"/>
      <c r="I174" s="131"/>
      <c r="J174" s="131"/>
    </row>
    <row r="175" spans="1:10" ht="39.950000000000003" customHeight="1" x14ac:dyDescent="0.25">
      <c r="A175" s="117" t="s">
        <v>1745</v>
      </c>
      <c r="B175" s="118"/>
      <c r="C175" s="118"/>
      <c r="D175" s="118"/>
      <c r="E175" s="118"/>
      <c r="F175" s="118"/>
      <c r="G175" s="118"/>
      <c r="H175" s="118"/>
      <c r="I175" s="118"/>
      <c r="J175" s="118"/>
    </row>
    <row r="176" spans="1:10" ht="30" customHeight="1" x14ac:dyDescent="0.25">
      <c r="A176" s="5"/>
      <c r="B176" s="3" t="s">
        <v>2</v>
      </c>
      <c r="C176" s="4" t="s">
        <v>48</v>
      </c>
      <c r="D176" s="4" t="s">
        <v>49</v>
      </c>
      <c r="E176" s="3" t="s">
        <v>9</v>
      </c>
      <c r="F176" s="3" t="s">
        <v>10</v>
      </c>
      <c r="G176" s="4" t="s">
        <v>11</v>
      </c>
      <c r="H176" s="4" t="s">
        <v>17</v>
      </c>
      <c r="I176" s="4" t="s">
        <v>12</v>
      </c>
      <c r="J176" s="4" t="s">
        <v>18</v>
      </c>
    </row>
    <row r="177" spans="1:10" s="94" customFormat="1" ht="30" customHeight="1" x14ac:dyDescent="0.25">
      <c r="A177" s="119"/>
      <c r="B177" s="32" t="s">
        <v>856</v>
      </c>
      <c r="C177" s="93" t="s">
        <v>262</v>
      </c>
      <c r="D177" s="93" t="s">
        <v>267</v>
      </c>
      <c r="E177" s="93" t="s">
        <v>273</v>
      </c>
      <c r="F177" s="93" t="s">
        <v>13</v>
      </c>
      <c r="G177" s="15" t="s">
        <v>869</v>
      </c>
      <c r="H177" s="98">
        <v>12300</v>
      </c>
      <c r="I177" s="92" t="s">
        <v>1679</v>
      </c>
      <c r="J177" s="91">
        <v>9800</v>
      </c>
    </row>
    <row r="178" spans="1:10" s="94" customFormat="1" ht="30" customHeight="1" x14ac:dyDescent="0.25">
      <c r="A178" s="119"/>
      <c r="B178" s="32" t="s">
        <v>857</v>
      </c>
      <c r="C178" s="93" t="s">
        <v>262</v>
      </c>
      <c r="D178" s="93" t="s">
        <v>267</v>
      </c>
      <c r="E178" s="93" t="s">
        <v>273</v>
      </c>
      <c r="F178" s="93" t="s">
        <v>13</v>
      </c>
      <c r="G178" s="15" t="s">
        <v>869</v>
      </c>
      <c r="H178" s="98">
        <v>13930</v>
      </c>
      <c r="I178" s="92" t="s">
        <v>1679</v>
      </c>
      <c r="J178" s="91">
        <v>11100</v>
      </c>
    </row>
    <row r="179" spans="1:10" s="94" customFormat="1" ht="30" customHeight="1" x14ac:dyDescent="0.25">
      <c r="A179" s="119"/>
      <c r="B179" s="32" t="s">
        <v>858</v>
      </c>
      <c r="C179" s="93" t="s">
        <v>262</v>
      </c>
      <c r="D179" s="93" t="s">
        <v>267</v>
      </c>
      <c r="E179" s="93" t="s">
        <v>273</v>
      </c>
      <c r="F179" s="93" t="s">
        <v>13</v>
      </c>
      <c r="G179" s="15" t="s">
        <v>869</v>
      </c>
      <c r="H179" s="98">
        <v>13160</v>
      </c>
      <c r="I179" s="92" t="s">
        <v>1679</v>
      </c>
      <c r="J179" s="91">
        <v>10500</v>
      </c>
    </row>
    <row r="180" spans="1:10" s="94" customFormat="1" ht="30" customHeight="1" x14ac:dyDescent="0.25">
      <c r="A180" s="119"/>
      <c r="B180" s="32" t="s">
        <v>859</v>
      </c>
      <c r="C180" s="93" t="s">
        <v>370</v>
      </c>
      <c r="D180" s="93" t="s">
        <v>268</v>
      </c>
      <c r="E180" s="93" t="s">
        <v>273</v>
      </c>
      <c r="F180" s="93" t="s">
        <v>13</v>
      </c>
      <c r="G180" s="15" t="s">
        <v>869</v>
      </c>
      <c r="H180" s="98">
        <v>12300</v>
      </c>
      <c r="I180" s="92" t="s">
        <v>1679</v>
      </c>
      <c r="J180" s="91">
        <v>9800</v>
      </c>
    </row>
    <row r="181" spans="1:10" s="94" customFormat="1" ht="30" customHeight="1" x14ac:dyDescent="0.25">
      <c r="A181" s="119"/>
      <c r="B181" s="32" t="s">
        <v>860</v>
      </c>
      <c r="C181" s="93" t="s">
        <v>370</v>
      </c>
      <c r="D181" s="93" t="s">
        <v>268</v>
      </c>
      <c r="E181" s="93" t="s">
        <v>273</v>
      </c>
      <c r="F181" s="93" t="s">
        <v>13</v>
      </c>
      <c r="G181" s="15" t="s">
        <v>869</v>
      </c>
      <c r="H181" s="98">
        <v>13930</v>
      </c>
      <c r="I181" s="92" t="s">
        <v>1679</v>
      </c>
      <c r="J181" s="91">
        <v>11100</v>
      </c>
    </row>
    <row r="182" spans="1:10" s="94" customFormat="1" ht="30" customHeight="1" x14ac:dyDescent="0.25">
      <c r="A182" s="119"/>
      <c r="B182" s="32" t="s">
        <v>861</v>
      </c>
      <c r="C182" s="93" t="s">
        <v>370</v>
      </c>
      <c r="D182" s="93" t="s">
        <v>268</v>
      </c>
      <c r="E182" s="93" t="s">
        <v>273</v>
      </c>
      <c r="F182" s="93" t="s">
        <v>13</v>
      </c>
      <c r="G182" s="15" t="s">
        <v>869</v>
      </c>
      <c r="H182" s="98">
        <v>13160</v>
      </c>
      <c r="I182" s="92" t="s">
        <v>1679</v>
      </c>
      <c r="J182" s="91">
        <v>10500</v>
      </c>
    </row>
    <row r="183" spans="1:10" s="94" customFormat="1" ht="30" customHeight="1" x14ac:dyDescent="0.25">
      <c r="A183" s="119"/>
      <c r="B183" s="32" t="s">
        <v>862</v>
      </c>
      <c r="C183" s="93" t="s">
        <v>798</v>
      </c>
      <c r="D183" s="93" t="s">
        <v>799</v>
      </c>
      <c r="E183" s="93" t="s">
        <v>273</v>
      </c>
      <c r="F183" s="93" t="s">
        <v>13</v>
      </c>
      <c r="G183" s="15" t="s">
        <v>869</v>
      </c>
      <c r="H183" s="98">
        <v>12300</v>
      </c>
      <c r="I183" s="92" t="s">
        <v>1679</v>
      </c>
      <c r="J183" s="91">
        <v>9800</v>
      </c>
    </row>
    <row r="184" spans="1:10" s="94" customFormat="1" ht="30" customHeight="1" x14ac:dyDescent="0.25">
      <c r="A184" s="119"/>
      <c r="B184" s="32" t="s">
        <v>863</v>
      </c>
      <c r="C184" s="93" t="s">
        <v>798</v>
      </c>
      <c r="D184" s="93" t="s">
        <v>799</v>
      </c>
      <c r="E184" s="93" t="s">
        <v>273</v>
      </c>
      <c r="F184" s="93" t="s">
        <v>13</v>
      </c>
      <c r="G184" s="15" t="s">
        <v>869</v>
      </c>
      <c r="H184" s="98">
        <v>13930</v>
      </c>
      <c r="I184" s="92" t="s">
        <v>1679</v>
      </c>
      <c r="J184" s="91">
        <v>11100</v>
      </c>
    </row>
    <row r="185" spans="1:10" s="94" customFormat="1" ht="30" customHeight="1" x14ac:dyDescent="0.25">
      <c r="A185" s="119"/>
      <c r="B185" s="32" t="s">
        <v>864</v>
      </c>
      <c r="C185" s="93" t="s">
        <v>798</v>
      </c>
      <c r="D185" s="93" t="s">
        <v>799</v>
      </c>
      <c r="E185" s="93" t="s">
        <v>273</v>
      </c>
      <c r="F185" s="93" t="s">
        <v>13</v>
      </c>
      <c r="G185" s="15" t="s">
        <v>869</v>
      </c>
      <c r="H185" s="98">
        <v>13160</v>
      </c>
      <c r="I185" s="92" t="s">
        <v>1679</v>
      </c>
      <c r="J185" s="91">
        <v>10500</v>
      </c>
    </row>
    <row r="186" spans="1:10" s="94" customFormat="1" ht="30" customHeight="1" x14ac:dyDescent="0.25">
      <c r="A186" s="119"/>
      <c r="B186" s="32" t="s">
        <v>865</v>
      </c>
      <c r="C186" s="93" t="s">
        <v>868</v>
      </c>
      <c r="D186" s="93" t="s">
        <v>801</v>
      </c>
      <c r="E186" s="93" t="s">
        <v>273</v>
      </c>
      <c r="F186" s="93" t="s">
        <v>13</v>
      </c>
      <c r="G186" s="15" t="s">
        <v>869</v>
      </c>
      <c r="H186" s="98">
        <v>12300</v>
      </c>
      <c r="I186" s="92" t="s">
        <v>1679</v>
      </c>
      <c r="J186" s="91">
        <v>9800</v>
      </c>
    </row>
    <row r="187" spans="1:10" s="94" customFormat="1" ht="30" customHeight="1" x14ac:dyDescent="0.25">
      <c r="A187" s="119"/>
      <c r="B187" s="32" t="s">
        <v>866</v>
      </c>
      <c r="C187" s="93" t="s">
        <v>868</v>
      </c>
      <c r="D187" s="93" t="s">
        <v>801</v>
      </c>
      <c r="E187" s="93" t="s">
        <v>273</v>
      </c>
      <c r="F187" s="93" t="s">
        <v>13</v>
      </c>
      <c r="G187" s="15" t="s">
        <v>869</v>
      </c>
      <c r="H187" s="98">
        <v>13930</v>
      </c>
      <c r="I187" s="92" t="s">
        <v>1679</v>
      </c>
      <c r="J187" s="91">
        <v>11100</v>
      </c>
    </row>
    <row r="188" spans="1:10" s="94" customFormat="1" ht="30" customHeight="1" x14ac:dyDescent="0.25">
      <c r="A188" s="119"/>
      <c r="B188" s="32" t="s">
        <v>867</v>
      </c>
      <c r="C188" s="93" t="s">
        <v>868</v>
      </c>
      <c r="D188" s="93" t="s">
        <v>801</v>
      </c>
      <c r="E188" s="93" t="s">
        <v>273</v>
      </c>
      <c r="F188" s="93" t="s">
        <v>13</v>
      </c>
      <c r="G188" s="15" t="s">
        <v>869</v>
      </c>
      <c r="H188" s="98">
        <v>13160</v>
      </c>
      <c r="I188" s="92" t="s">
        <v>1679</v>
      </c>
      <c r="J188" s="91">
        <v>10500</v>
      </c>
    </row>
    <row r="189" spans="1:10" ht="20.100000000000001" customHeight="1" x14ac:dyDescent="0.25">
      <c r="A189" s="131"/>
      <c r="B189" s="131"/>
      <c r="C189" s="131"/>
      <c r="D189" s="131"/>
      <c r="E189" s="131"/>
      <c r="F189" s="131"/>
      <c r="G189" s="131"/>
      <c r="H189" s="131"/>
      <c r="I189" s="131"/>
      <c r="J189" s="131"/>
    </row>
    <row r="190" spans="1:10" ht="39.950000000000003" customHeight="1" x14ac:dyDescent="0.25">
      <c r="A190" s="117" t="s">
        <v>1746</v>
      </c>
      <c r="B190" s="118"/>
      <c r="C190" s="118"/>
      <c r="D190" s="118"/>
      <c r="E190" s="118"/>
      <c r="F190" s="118"/>
      <c r="G190" s="118"/>
      <c r="H190" s="118"/>
      <c r="I190" s="118"/>
      <c r="J190" s="118"/>
    </row>
    <row r="191" spans="1:10" ht="30" customHeight="1" x14ac:dyDescent="0.25">
      <c r="A191" s="5"/>
      <c r="B191" s="3" t="s">
        <v>2</v>
      </c>
      <c r="C191" s="4" t="s">
        <v>48</v>
      </c>
      <c r="D191" s="4" t="s">
        <v>49</v>
      </c>
      <c r="E191" s="3" t="s">
        <v>9</v>
      </c>
      <c r="F191" s="3" t="s">
        <v>10</v>
      </c>
      <c r="G191" s="4" t="s">
        <v>11</v>
      </c>
      <c r="H191" s="4" t="s">
        <v>17</v>
      </c>
      <c r="I191" s="4" t="s">
        <v>12</v>
      </c>
      <c r="J191" s="4" t="s">
        <v>18</v>
      </c>
    </row>
    <row r="192" spans="1:10" s="94" customFormat="1" ht="30" customHeight="1" x14ac:dyDescent="0.25">
      <c r="A192" s="119"/>
      <c r="B192" s="32" t="s">
        <v>870</v>
      </c>
      <c r="C192" s="93" t="s">
        <v>798</v>
      </c>
      <c r="D192" s="93" t="s">
        <v>799</v>
      </c>
      <c r="E192" s="93" t="s">
        <v>273</v>
      </c>
      <c r="F192" s="93" t="s">
        <v>13</v>
      </c>
      <c r="G192" s="15" t="s">
        <v>880</v>
      </c>
      <c r="H192" s="98">
        <v>21000</v>
      </c>
      <c r="I192" s="92" t="s">
        <v>1679</v>
      </c>
      <c r="J192" s="91">
        <v>16800</v>
      </c>
    </row>
    <row r="193" spans="1:10" s="94" customFormat="1" ht="30" customHeight="1" x14ac:dyDescent="0.25">
      <c r="A193" s="119"/>
      <c r="B193" s="32" t="s">
        <v>871</v>
      </c>
      <c r="C193" s="93" t="s">
        <v>798</v>
      </c>
      <c r="D193" s="93" t="s">
        <v>799</v>
      </c>
      <c r="E193" s="93" t="s">
        <v>273</v>
      </c>
      <c r="F193" s="93" t="s">
        <v>13</v>
      </c>
      <c r="G193" s="15" t="s">
        <v>880</v>
      </c>
      <c r="H193" s="98">
        <v>21500</v>
      </c>
      <c r="I193" s="92" t="s">
        <v>1679</v>
      </c>
      <c r="J193" s="91">
        <v>17200</v>
      </c>
    </row>
    <row r="194" spans="1:10" s="94" customFormat="1" ht="30" customHeight="1" x14ac:dyDescent="0.25">
      <c r="A194" s="119"/>
      <c r="B194" s="32" t="s">
        <v>872</v>
      </c>
      <c r="C194" s="93" t="s">
        <v>800</v>
      </c>
      <c r="D194" s="93" t="s">
        <v>801</v>
      </c>
      <c r="E194" s="93" t="s">
        <v>273</v>
      </c>
      <c r="F194" s="93" t="s">
        <v>13</v>
      </c>
      <c r="G194" s="15" t="s">
        <v>880</v>
      </c>
      <c r="H194" s="98">
        <v>21000</v>
      </c>
      <c r="I194" s="92" t="s">
        <v>1679</v>
      </c>
      <c r="J194" s="91">
        <v>16800</v>
      </c>
    </row>
    <row r="195" spans="1:10" s="94" customFormat="1" ht="30" customHeight="1" x14ac:dyDescent="0.25">
      <c r="A195" s="119"/>
      <c r="B195" s="32" t="s">
        <v>873</v>
      </c>
      <c r="C195" s="93" t="s">
        <v>800</v>
      </c>
      <c r="D195" s="93" t="s">
        <v>801</v>
      </c>
      <c r="E195" s="93" t="s">
        <v>273</v>
      </c>
      <c r="F195" s="93" t="s">
        <v>13</v>
      </c>
      <c r="G195" s="15" t="s">
        <v>880</v>
      </c>
      <c r="H195" s="98">
        <v>21500</v>
      </c>
      <c r="I195" s="92" t="s">
        <v>1679</v>
      </c>
      <c r="J195" s="91">
        <v>17200</v>
      </c>
    </row>
    <row r="196" spans="1:10" s="94" customFormat="1" ht="30" customHeight="1" x14ac:dyDescent="0.25">
      <c r="A196" s="119"/>
      <c r="B196" s="32" t="s">
        <v>874</v>
      </c>
      <c r="C196" s="93" t="s">
        <v>802</v>
      </c>
      <c r="D196" s="93" t="s">
        <v>803</v>
      </c>
      <c r="E196" s="93" t="s">
        <v>273</v>
      </c>
      <c r="F196" s="93" t="s">
        <v>13</v>
      </c>
      <c r="G196" s="15" t="s">
        <v>880</v>
      </c>
      <c r="H196" s="98">
        <v>21000</v>
      </c>
      <c r="I196" s="92" t="s">
        <v>1679</v>
      </c>
      <c r="J196" s="91">
        <v>16800</v>
      </c>
    </row>
    <row r="197" spans="1:10" s="94" customFormat="1" ht="30" customHeight="1" x14ac:dyDescent="0.25">
      <c r="A197" s="119"/>
      <c r="B197" s="32" t="s">
        <v>875</v>
      </c>
      <c r="C197" s="93" t="s">
        <v>802</v>
      </c>
      <c r="D197" s="93" t="s">
        <v>803</v>
      </c>
      <c r="E197" s="93" t="s">
        <v>273</v>
      </c>
      <c r="F197" s="93" t="s">
        <v>13</v>
      </c>
      <c r="G197" s="15" t="s">
        <v>880</v>
      </c>
      <c r="H197" s="98">
        <v>21500</v>
      </c>
      <c r="I197" s="92" t="s">
        <v>1679</v>
      </c>
      <c r="J197" s="91">
        <v>17200</v>
      </c>
    </row>
    <row r="198" spans="1:10" s="94" customFormat="1" ht="30" customHeight="1" x14ac:dyDescent="0.25">
      <c r="A198" s="119"/>
      <c r="B198" s="32" t="s">
        <v>876</v>
      </c>
      <c r="C198" s="93" t="s">
        <v>878</v>
      </c>
      <c r="D198" s="93" t="s">
        <v>879</v>
      </c>
      <c r="E198" s="93" t="s">
        <v>273</v>
      </c>
      <c r="F198" s="93" t="s">
        <v>13</v>
      </c>
      <c r="G198" s="15" t="s">
        <v>880</v>
      </c>
      <c r="H198" s="98">
        <v>21000</v>
      </c>
      <c r="I198" s="92" t="s">
        <v>1679</v>
      </c>
      <c r="J198" s="91">
        <v>16800</v>
      </c>
    </row>
    <row r="199" spans="1:10" s="94" customFormat="1" ht="30" customHeight="1" x14ac:dyDescent="0.25">
      <c r="A199" s="119"/>
      <c r="B199" s="32" t="s">
        <v>877</v>
      </c>
      <c r="C199" s="93" t="s">
        <v>878</v>
      </c>
      <c r="D199" s="93" t="s">
        <v>879</v>
      </c>
      <c r="E199" s="93" t="s">
        <v>273</v>
      </c>
      <c r="F199" s="93" t="s">
        <v>13</v>
      </c>
      <c r="G199" s="15" t="s">
        <v>880</v>
      </c>
      <c r="H199" s="98">
        <v>21500</v>
      </c>
      <c r="I199" s="92" t="s">
        <v>1679</v>
      </c>
      <c r="J199" s="91">
        <v>17200</v>
      </c>
    </row>
    <row r="200" spans="1:10" ht="20.100000000000001" customHeight="1" x14ac:dyDescent="0.25">
      <c r="A200" s="131"/>
      <c r="B200" s="131"/>
      <c r="C200" s="131"/>
      <c r="D200" s="131"/>
      <c r="E200" s="131"/>
      <c r="F200" s="131"/>
      <c r="G200" s="131"/>
      <c r="H200" s="131"/>
      <c r="I200" s="131"/>
      <c r="J200" s="131"/>
    </row>
    <row r="201" spans="1:10" ht="39.950000000000003" customHeight="1" x14ac:dyDescent="0.25">
      <c r="A201" s="117" t="s">
        <v>1747</v>
      </c>
      <c r="B201" s="118"/>
      <c r="C201" s="118"/>
      <c r="D201" s="118"/>
      <c r="E201" s="118"/>
      <c r="F201" s="118"/>
      <c r="G201" s="118"/>
      <c r="H201" s="118"/>
      <c r="I201" s="118"/>
      <c r="J201" s="118"/>
    </row>
    <row r="202" spans="1:10" ht="30" customHeight="1" x14ac:dyDescent="0.25">
      <c r="A202" s="67"/>
      <c r="B202" s="39" t="s">
        <v>2</v>
      </c>
      <c r="C202" s="4" t="s">
        <v>48</v>
      </c>
      <c r="D202" s="4" t="s">
        <v>49</v>
      </c>
      <c r="E202" s="39" t="s">
        <v>9</v>
      </c>
      <c r="F202" s="39" t="s">
        <v>10</v>
      </c>
      <c r="G202" s="4" t="s">
        <v>11</v>
      </c>
      <c r="H202" s="4" t="s">
        <v>17</v>
      </c>
      <c r="I202" s="4" t="s">
        <v>12</v>
      </c>
      <c r="J202" s="4" t="s">
        <v>18</v>
      </c>
    </row>
    <row r="203" spans="1:10" s="94" customFormat="1" ht="30" customHeight="1" x14ac:dyDescent="0.25">
      <c r="A203" s="119"/>
      <c r="B203" s="32" t="s">
        <v>1748</v>
      </c>
      <c r="C203" s="93" t="s">
        <v>262</v>
      </c>
      <c r="D203" s="93" t="s">
        <v>267</v>
      </c>
      <c r="E203" s="93" t="s">
        <v>273</v>
      </c>
      <c r="F203" s="93" t="s">
        <v>13</v>
      </c>
      <c r="G203" s="15" t="s">
        <v>869</v>
      </c>
      <c r="H203" s="98">
        <v>12410</v>
      </c>
      <c r="I203" s="92" t="s">
        <v>1679</v>
      </c>
      <c r="J203" s="91">
        <v>9900</v>
      </c>
    </row>
    <row r="204" spans="1:10" s="94" customFormat="1" ht="30" customHeight="1" x14ac:dyDescent="0.25">
      <c r="A204" s="119"/>
      <c r="B204" s="32" t="s">
        <v>1749</v>
      </c>
      <c r="C204" s="93" t="s">
        <v>262</v>
      </c>
      <c r="D204" s="93" t="s">
        <v>267</v>
      </c>
      <c r="E204" s="93" t="s">
        <v>273</v>
      </c>
      <c r="F204" s="93" t="s">
        <v>13</v>
      </c>
      <c r="G204" s="15" t="s">
        <v>869</v>
      </c>
      <c r="H204" s="98">
        <v>14040</v>
      </c>
      <c r="I204" s="92" t="s">
        <v>1679</v>
      </c>
      <c r="J204" s="91">
        <v>11200</v>
      </c>
    </row>
    <row r="205" spans="1:10" s="94" customFormat="1" ht="30" customHeight="1" x14ac:dyDescent="0.25">
      <c r="A205" s="119"/>
      <c r="B205" s="32" t="s">
        <v>1750</v>
      </c>
      <c r="C205" s="93" t="s">
        <v>262</v>
      </c>
      <c r="D205" s="93" t="s">
        <v>267</v>
      </c>
      <c r="E205" s="93" t="s">
        <v>273</v>
      </c>
      <c r="F205" s="93" t="s">
        <v>13</v>
      </c>
      <c r="G205" s="15" t="s">
        <v>869</v>
      </c>
      <c r="H205" s="98">
        <v>13270</v>
      </c>
      <c r="I205" s="92" t="s">
        <v>1679</v>
      </c>
      <c r="J205" s="91">
        <v>10600</v>
      </c>
    </row>
    <row r="206" spans="1:10" s="94" customFormat="1" ht="30" customHeight="1" x14ac:dyDescent="0.25">
      <c r="A206" s="119"/>
      <c r="B206" s="32" t="s">
        <v>1751</v>
      </c>
      <c r="C206" s="93" t="s">
        <v>370</v>
      </c>
      <c r="D206" s="93" t="s">
        <v>268</v>
      </c>
      <c r="E206" s="93" t="s">
        <v>273</v>
      </c>
      <c r="F206" s="93" t="s">
        <v>13</v>
      </c>
      <c r="G206" s="15" t="s">
        <v>869</v>
      </c>
      <c r="H206" s="98">
        <v>12410</v>
      </c>
      <c r="I206" s="92" t="s">
        <v>1679</v>
      </c>
      <c r="J206" s="91">
        <v>9900</v>
      </c>
    </row>
    <row r="207" spans="1:10" s="94" customFormat="1" ht="30" customHeight="1" x14ac:dyDescent="0.25">
      <c r="A207" s="119"/>
      <c r="B207" s="32" t="s">
        <v>1754</v>
      </c>
      <c r="C207" s="93" t="s">
        <v>370</v>
      </c>
      <c r="D207" s="93" t="s">
        <v>268</v>
      </c>
      <c r="E207" s="93" t="s">
        <v>273</v>
      </c>
      <c r="F207" s="93" t="s">
        <v>13</v>
      </c>
      <c r="G207" s="15" t="s">
        <v>869</v>
      </c>
      <c r="H207" s="98">
        <v>14040</v>
      </c>
      <c r="I207" s="92" t="s">
        <v>1679</v>
      </c>
      <c r="J207" s="91">
        <v>11200</v>
      </c>
    </row>
    <row r="208" spans="1:10" s="94" customFormat="1" ht="30" customHeight="1" x14ac:dyDescent="0.25">
      <c r="A208" s="119"/>
      <c r="B208" s="32" t="s">
        <v>1757</v>
      </c>
      <c r="C208" s="93" t="s">
        <v>370</v>
      </c>
      <c r="D208" s="93" t="s">
        <v>268</v>
      </c>
      <c r="E208" s="93" t="s">
        <v>273</v>
      </c>
      <c r="F208" s="93" t="s">
        <v>13</v>
      </c>
      <c r="G208" s="15" t="s">
        <v>869</v>
      </c>
      <c r="H208" s="98">
        <v>13270</v>
      </c>
      <c r="I208" s="92" t="s">
        <v>1679</v>
      </c>
      <c r="J208" s="91">
        <v>10600</v>
      </c>
    </row>
    <row r="209" spans="1:10" s="94" customFormat="1" ht="30" customHeight="1" x14ac:dyDescent="0.25">
      <c r="A209" s="119"/>
      <c r="B209" s="32" t="s">
        <v>1752</v>
      </c>
      <c r="C209" s="93" t="s">
        <v>798</v>
      </c>
      <c r="D209" s="93" t="s">
        <v>799</v>
      </c>
      <c r="E209" s="93" t="s">
        <v>273</v>
      </c>
      <c r="F209" s="93" t="s">
        <v>13</v>
      </c>
      <c r="G209" s="15" t="s">
        <v>869</v>
      </c>
      <c r="H209" s="98">
        <v>12410</v>
      </c>
      <c r="I209" s="92" t="s">
        <v>1679</v>
      </c>
      <c r="J209" s="91">
        <v>9900</v>
      </c>
    </row>
    <row r="210" spans="1:10" s="94" customFormat="1" ht="30" customHeight="1" x14ac:dyDescent="0.25">
      <c r="A210" s="119"/>
      <c r="B210" s="32" t="s">
        <v>1755</v>
      </c>
      <c r="C210" s="93" t="s">
        <v>798</v>
      </c>
      <c r="D210" s="93" t="s">
        <v>799</v>
      </c>
      <c r="E210" s="93" t="s">
        <v>273</v>
      </c>
      <c r="F210" s="93" t="s">
        <v>13</v>
      </c>
      <c r="G210" s="15" t="s">
        <v>869</v>
      </c>
      <c r="H210" s="98">
        <v>14040</v>
      </c>
      <c r="I210" s="92" t="s">
        <v>1679</v>
      </c>
      <c r="J210" s="91">
        <v>11200</v>
      </c>
    </row>
    <row r="211" spans="1:10" s="94" customFormat="1" ht="30" customHeight="1" x14ac:dyDescent="0.25">
      <c r="A211" s="119"/>
      <c r="B211" s="32" t="s">
        <v>1758</v>
      </c>
      <c r="C211" s="93" t="s">
        <v>798</v>
      </c>
      <c r="D211" s="93" t="s">
        <v>799</v>
      </c>
      <c r="E211" s="93" t="s">
        <v>273</v>
      </c>
      <c r="F211" s="93" t="s">
        <v>13</v>
      </c>
      <c r="G211" s="15" t="s">
        <v>869</v>
      </c>
      <c r="H211" s="98">
        <v>13270</v>
      </c>
      <c r="I211" s="92" t="s">
        <v>1679</v>
      </c>
      <c r="J211" s="91">
        <v>10600</v>
      </c>
    </row>
    <row r="212" spans="1:10" s="94" customFormat="1" ht="30" customHeight="1" x14ac:dyDescent="0.25">
      <c r="A212" s="119"/>
      <c r="B212" s="32" t="s">
        <v>1753</v>
      </c>
      <c r="C212" s="93" t="s">
        <v>868</v>
      </c>
      <c r="D212" s="93" t="s">
        <v>801</v>
      </c>
      <c r="E212" s="93" t="s">
        <v>273</v>
      </c>
      <c r="F212" s="93" t="s">
        <v>13</v>
      </c>
      <c r="G212" s="15" t="s">
        <v>869</v>
      </c>
      <c r="H212" s="98">
        <v>12410</v>
      </c>
      <c r="I212" s="92" t="s">
        <v>1679</v>
      </c>
      <c r="J212" s="91">
        <v>9900</v>
      </c>
    </row>
    <row r="213" spans="1:10" s="94" customFormat="1" ht="30" customHeight="1" x14ac:dyDescent="0.25">
      <c r="A213" s="119"/>
      <c r="B213" s="32" t="s">
        <v>1756</v>
      </c>
      <c r="C213" s="93" t="s">
        <v>868</v>
      </c>
      <c r="D213" s="93" t="s">
        <v>801</v>
      </c>
      <c r="E213" s="93" t="s">
        <v>273</v>
      </c>
      <c r="F213" s="93" t="s">
        <v>13</v>
      </c>
      <c r="G213" s="15" t="s">
        <v>869</v>
      </c>
      <c r="H213" s="98">
        <v>14040</v>
      </c>
      <c r="I213" s="92" t="s">
        <v>1679</v>
      </c>
      <c r="J213" s="91">
        <v>11200</v>
      </c>
    </row>
    <row r="214" spans="1:10" s="94" customFormat="1" ht="30" customHeight="1" x14ac:dyDescent="0.25">
      <c r="A214" s="119"/>
      <c r="B214" s="32" t="s">
        <v>1759</v>
      </c>
      <c r="C214" s="93" t="s">
        <v>868</v>
      </c>
      <c r="D214" s="93" t="s">
        <v>801</v>
      </c>
      <c r="E214" s="93" t="s">
        <v>273</v>
      </c>
      <c r="F214" s="93" t="s">
        <v>13</v>
      </c>
      <c r="G214" s="15" t="s">
        <v>869</v>
      </c>
      <c r="H214" s="98">
        <v>13270</v>
      </c>
      <c r="I214" s="92" t="s">
        <v>1679</v>
      </c>
      <c r="J214" s="91">
        <v>10600</v>
      </c>
    </row>
    <row r="215" spans="1:10" ht="20.100000000000001" customHeight="1" x14ac:dyDescent="0.25">
      <c r="A215" s="131"/>
      <c r="B215" s="131"/>
      <c r="C215" s="131"/>
      <c r="D215" s="131"/>
      <c r="E215" s="131"/>
      <c r="F215" s="131"/>
      <c r="G215" s="131"/>
      <c r="H215" s="131"/>
      <c r="I215" s="131"/>
      <c r="J215" s="131"/>
    </row>
    <row r="216" spans="1:10" ht="39.950000000000003" customHeight="1" x14ac:dyDescent="0.25">
      <c r="A216" s="129" t="s">
        <v>1760</v>
      </c>
      <c r="B216" s="130"/>
      <c r="C216" s="130"/>
      <c r="D216" s="130"/>
      <c r="E216" s="130"/>
      <c r="F216" s="130"/>
      <c r="G216" s="130"/>
      <c r="H216" s="130"/>
      <c r="I216" s="130"/>
      <c r="J216" s="130"/>
    </row>
    <row r="217" spans="1:10" ht="30" customHeight="1" x14ac:dyDescent="0.25">
      <c r="A217" s="67"/>
      <c r="B217" s="39" t="s">
        <v>2</v>
      </c>
      <c r="C217" s="4" t="s">
        <v>48</v>
      </c>
      <c r="D217" s="4" t="s">
        <v>49</v>
      </c>
      <c r="E217" s="39" t="s">
        <v>9</v>
      </c>
      <c r="F217" s="39" t="s">
        <v>10</v>
      </c>
      <c r="G217" s="4" t="s">
        <v>11</v>
      </c>
      <c r="H217" s="4" t="s">
        <v>17</v>
      </c>
      <c r="I217" s="4" t="s">
        <v>12</v>
      </c>
      <c r="J217" s="4" t="s">
        <v>18</v>
      </c>
    </row>
    <row r="218" spans="1:10" s="94" customFormat="1" ht="30" customHeight="1" x14ac:dyDescent="0.25">
      <c r="A218" s="119"/>
      <c r="B218" s="100" t="s">
        <v>1777</v>
      </c>
      <c r="C218" s="93" t="s">
        <v>798</v>
      </c>
      <c r="D218" s="93" t="s">
        <v>799</v>
      </c>
      <c r="E218" s="93" t="s">
        <v>273</v>
      </c>
      <c r="F218" s="93" t="s">
        <v>13</v>
      </c>
      <c r="G218" s="15" t="s">
        <v>880</v>
      </c>
      <c r="H218" s="98">
        <v>21170</v>
      </c>
      <c r="I218" s="92" t="s">
        <v>1679</v>
      </c>
      <c r="J218" s="91">
        <v>16900</v>
      </c>
    </row>
    <row r="219" spans="1:10" s="94" customFormat="1" ht="30" customHeight="1" x14ac:dyDescent="0.25">
      <c r="A219" s="119"/>
      <c r="B219" s="100" t="s">
        <v>1778</v>
      </c>
      <c r="C219" s="93" t="s">
        <v>798</v>
      </c>
      <c r="D219" s="93" t="s">
        <v>799</v>
      </c>
      <c r="E219" s="93" t="s">
        <v>273</v>
      </c>
      <c r="F219" s="93" t="s">
        <v>13</v>
      </c>
      <c r="G219" s="15" t="s">
        <v>880</v>
      </c>
      <c r="H219" s="98">
        <v>21610</v>
      </c>
      <c r="I219" s="92" t="s">
        <v>1679</v>
      </c>
      <c r="J219" s="91">
        <v>17300</v>
      </c>
    </row>
    <row r="220" spans="1:10" s="94" customFormat="1" ht="30" customHeight="1" x14ac:dyDescent="0.25">
      <c r="A220" s="119"/>
      <c r="B220" s="100" t="s">
        <v>1779</v>
      </c>
      <c r="C220" s="93" t="s">
        <v>800</v>
      </c>
      <c r="D220" s="93" t="s">
        <v>801</v>
      </c>
      <c r="E220" s="93" t="s">
        <v>273</v>
      </c>
      <c r="F220" s="93" t="s">
        <v>13</v>
      </c>
      <c r="G220" s="15" t="s">
        <v>880</v>
      </c>
      <c r="H220" s="98">
        <v>21170</v>
      </c>
      <c r="I220" s="92" t="s">
        <v>1679</v>
      </c>
      <c r="J220" s="91">
        <v>16900</v>
      </c>
    </row>
    <row r="221" spans="1:10" s="94" customFormat="1" ht="30" customHeight="1" x14ac:dyDescent="0.25">
      <c r="A221" s="119"/>
      <c r="B221" s="100" t="s">
        <v>1780</v>
      </c>
      <c r="C221" s="93" t="s">
        <v>800</v>
      </c>
      <c r="D221" s="93" t="s">
        <v>801</v>
      </c>
      <c r="E221" s="93" t="s">
        <v>273</v>
      </c>
      <c r="F221" s="93" t="s">
        <v>13</v>
      </c>
      <c r="G221" s="15" t="s">
        <v>880</v>
      </c>
      <c r="H221" s="98">
        <v>21610</v>
      </c>
      <c r="I221" s="92" t="s">
        <v>1679</v>
      </c>
      <c r="J221" s="91">
        <v>17300</v>
      </c>
    </row>
    <row r="222" spans="1:10" s="94" customFormat="1" ht="30" customHeight="1" x14ac:dyDescent="0.25">
      <c r="A222" s="119"/>
      <c r="B222" s="100" t="s">
        <v>1781</v>
      </c>
      <c r="C222" s="93" t="s">
        <v>802</v>
      </c>
      <c r="D222" s="93" t="s">
        <v>803</v>
      </c>
      <c r="E222" s="93" t="s">
        <v>273</v>
      </c>
      <c r="F222" s="93" t="s">
        <v>13</v>
      </c>
      <c r="G222" s="15" t="s">
        <v>880</v>
      </c>
      <c r="H222" s="98">
        <v>21170</v>
      </c>
      <c r="I222" s="92" t="s">
        <v>1679</v>
      </c>
      <c r="J222" s="91">
        <v>16900</v>
      </c>
    </row>
    <row r="223" spans="1:10" s="94" customFormat="1" ht="30" customHeight="1" x14ac:dyDescent="0.25">
      <c r="A223" s="119"/>
      <c r="B223" s="100" t="s">
        <v>1782</v>
      </c>
      <c r="C223" s="93" t="s">
        <v>802</v>
      </c>
      <c r="D223" s="93" t="s">
        <v>803</v>
      </c>
      <c r="E223" s="93" t="s">
        <v>273</v>
      </c>
      <c r="F223" s="93" t="s">
        <v>13</v>
      </c>
      <c r="G223" s="15" t="s">
        <v>880</v>
      </c>
      <c r="H223" s="98">
        <v>21610</v>
      </c>
      <c r="I223" s="92" t="s">
        <v>1679</v>
      </c>
      <c r="J223" s="91">
        <v>17300</v>
      </c>
    </row>
    <row r="224" spans="1:10" s="94" customFormat="1" ht="30" customHeight="1" x14ac:dyDescent="0.25">
      <c r="A224" s="119"/>
      <c r="B224" s="100" t="s">
        <v>1783</v>
      </c>
      <c r="C224" s="93" t="s">
        <v>878</v>
      </c>
      <c r="D224" s="93" t="s">
        <v>879</v>
      </c>
      <c r="E224" s="93" t="s">
        <v>273</v>
      </c>
      <c r="F224" s="93" t="s">
        <v>13</v>
      </c>
      <c r="G224" s="15" t="s">
        <v>880</v>
      </c>
      <c r="H224" s="98">
        <v>21170</v>
      </c>
      <c r="I224" s="92" t="s">
        <v>1679</v>
      </c>
      <c r="J224" s="91">
        <v>16900</v>
      </c>
    </row>
    <row r="225" spans="1:10" s="94" customFormat="1" ht="30" customHeight="1" x14ac:dyDescent="0.25">
      <c r="A225" s="119"/>
      <c r="B225" s="100" t="s">
        <v>1784</v>
      </c>
      <c r="C225" s="93" t="s">
        <v>878</v>
      </c>
      <c r="D225" s="93" t="s">
        <v>879</v>
      </c>
      <c r="E225" s="93" t="s">
        <v>273</v>
      </c>
      <c r="F225" s="93" t="s">
        <v>13</v>
      </c>
      <c r="G225" s="15" t="s">
        <v>880</v>
      </c>
      <c r="H225" s="98">
        <v>21610</v>
      </c>
      <c r="I225" s="92" t="s">
        <v>1679</v>
      </c>
      <c r="J225" s="91">
        <v>17300</v>
      </c>
    </row>
    <row r="226" spans="1:10" ht="20.100000000000001" customHeight="1" x14ac:dyDescent="0.25">
      <c r="A226" s="131"/>
      <c r="B226" s="131"/>
      <c r="C226" s="131"/>
      <c r="D226" s="131"/>
      <c r="E226" s="131"/>
      <c r="F226" s="131"/>
      <c r="G226" s="131"/>
      <c r="H226" s="131"/>
      <c r="I226" s="131"/>
      <c r="J226" s="131"/>
    </row>
    <row r="227" spans="1:10" ht="39.950000000000003" customHeight="1" x14ac:dyDescent="0.25">
      <c r="A227" s="117" t="s">
        <v>1762</v>
      </c>
      <c r="B227" s="118"/>
      <c r="C227" s="118"/>
      <c r="D227" s="118"/>
      <c r="E227" s="118"/>
      <c r="F227" s="118"/>
      <c r="G227" s="118"/>
      <c r="H227" s="118"/>
      <c r="I227" s="118"/>
      <c r="J227" s="118"/>
    </row>
    <row r="228" spans="1:10" ht="30" customHeight="1" x14ac:dyDescent="0.25">
      <c r="A228" s="5"/>
      <c r="B228" s="3" t="s">
        <v>2</v>
      </c>
      <c r="C228" s="4" t="s">
        <v>48</v>
      </c>
      <c r="D228" s="4" t="s">
        <v>49</v>
      </c>
      <c r="E228" s="3" t="s">
        <v>9</v>
      </c>
      <c r="F228" s="3" t="s">
        <v>10</v>
      </c>
      <c r="G228" s="4" t="s">
        <v>11</v>
      </c>
      <c r="H228" s="4" t="s">
        <v>17</v>
      </c>
      <c r="I228" s="4" t="s">
        <v>12</v>
      </c>
      <c r="J228" s="4" t="s">
        <v>18</v>
      </c>
    </row>
    <row r="229" spans="1:10" s="94" customFormat="1" ht="120" customHeight="1" x14ac:dyDescent="0.25">
      <c r="A229" s="93"/>
      <c r="B229" s="32" t="s">
        <v>881</v>
      </c>
      <c r="C229" s="93" t="s">
        <v>882</v>
      </c>
      <c r="D229" s="93" t="s">
        <v>524</v>
      </c>
      <c r="E229" s="93" t="s">
        <v>273</v>
      </c>
      <c r="F229" s="93" t="s">
        <v>13</v>
      </c>
      <c r="G229" s="15" t="s">
        <v>883</v>
      </c>
      <c r="H229" s="98">
        <v>7980</v>
      </c>
      <c r="I229" s="92" t="s">
        <v>1947</v>
      </c>
      <c r="J229" s="91">
        <v>6780</v>
      </c>
    </row>
    <row r="230" spans="1:10" ht="20.100000000000001" customHeight="1" x14ac:dyDescent="0.25">
      <c r="A230" s="131"/>
      <c r="B230" s="131"/>
      <c r="C230" s="131"/>
      <c r="D230" s="131"/>
      <c r="E230" s="131"/>
      <c r="F230" s="131"/>
      <c r="G230" s="131"/>
      <c r="H230" s="131"/>
      <c r="I230" s="131"/>
      <c r="J230" s="131"/>
    </row>
    <row r="231" spans="1:10" ht="39.950000000000003" customHeight="1" x14ac:dyDescent="0.25">
      <c r="A231" s="117" t="s">
        <v>1761</v>
      </c>
      <c r="B231" s="118"/>
      <c r="C231" s="118"/>
      <c r="D231" s="118"/>
      <c r="E231" s="118"/>
      <c r="F231" s="118"/>
      <c r="G231" s="118"/>
      <c r="H231" s="118"/>
      <c r="I231" s="118"/>
      <c r="J231" s="118"/>
    </row>
    <row r="232" spans="1:10" ht="30" customHeight="1" x14ac:dyDescent="0.25">
      <c r="A232" s="5"/>
      <c r="B232" s="3" t="s">
        <v>2</v>
      </c>
      <c r="C232" s="4" t="s">
        <v>48</v>
      </c>
      <c r="D232" s="4" t="s">
        <v>49</v>
      </c>
      <c r="E232" s="3" t="s">
        <v>9</v>
      </c>
      <c r="F232" s="3" t="s">
        <v>10</v>
      </c>
      <c r="G232" s="4" t="s">
        <v>11</v>
      </c>
      <c r="H232" s="4" t="s">
        <v>17</v>
      </c>
      <c r="I232" s="4" t="s">
        <v>12</v>
      </c>
      <c r="J232" s="4" t="s">
        <v>18</v>
      </c>
    </row>
    <row r="233" spans="1:10" s="94" customFormat="1" ht="39.950000000000003" customHeight="1" x14ac:dyDescent="0.25">
      <c r="A233" s="119"/>
      <c r="B233" s="32" t="s">
        <v>884</v>
      </c>
      <c r="C233" s="93" t="s">
        <v>790</v>
      </c>
      <c r="D233" s="93" t="s">
        <v>1890</v>
      </c>
      <c r="E233" s="93" t="s">
        <v>273</v>
      </c>
      <c r="F233" s="93" t="s">
        <v>13</v>
      </c>
      <c r="G233" s="15" t="s">
        <v>887</v>
      </c>
      <c r="H233" s="98">
        <v>12500</v>
      </c>
      <c r="I233" s="92" t="s">
        <v>1679</v>
      </c>
      <c r="J233" s="91">
        <v>10000</v>
      </c>
    </row>
    <row r="234" spans="1:10" s="94" customFormat="1" ht="39.950000000000003" customHeight="1" x14ac:dyDescent="0.25">
      <c r="A234" s="119"/>
      <c r="B234" s="32" t="s">
        <v>885</v>
      </c>
      <c r="C234" s="93" t="s">
        <v>790</v>
      </c>
      <c r="D234" s="104" t="s">
        <v>1890</v>
      </c>
      <c r="E234" s="93" t="s">
        <v>273</v>
      </c>
      <c r="F234" s="93" t="s">
        <v>13</v>
      </c>
      <c r="G234" s="15" t="s">
        <v>887</v>
      </c>
      <c r="H234" s="98">
        <v>13880</v>
      </c>
      <c r="I234" s="92" t="s">
        <v>1679</v>
      </c>
      <c r="J234" s="91">
        <v>11100</v>
      </c>
    </row>
    <row r="235" spans="1:10" s="94" customFormat="1" ht="39.950000000000003" customHeight="1" x14ac:dyDescent="0.25">
      <c r="A235" s="119"/>
      <c r="B235" s="32" t="s">
        <v>886</v>
      </c>
      <c r="C235" s="93" t="s">
        <v>790</v>
      </c>
      <c r="D235" s="104" t="s">
        <v>1890</v>
      </c>
      <c r="E235" s="93" t="s">
        <v>273</v>
      </c>
      <c r="F235" s="93" t="s">
        <v>13</v>
      </c>
      <c r="G235" s="15" t="s">
        <v>887</v>
      </c>
      <c r="H235" s="98">
        <v>13340</v>
      </c>
      <c r="I235" s="92" t="s">
        <v>1679</v>
      </c>
      <c r="J235" s="91">
        <v>10600</v>
      </c>
    </row>
    <row r="236" spans="1:10" ht="20.100000000000001" customHeight="1" x14ac:dyDescent="0.25">
      <c r="A236" s="131"/>
      <c r="B236" s="131"/>
      <c r="C236" s="131"/>
      <c r="D236" s="131"/>
      <c r="E236" s="131"/>
      <c r="F236" s="131"/>
      <c r="G236" s="131"/>
      <c r="H236" s="131"/>
      <c r="I236" s="131"/>
      <c r="J236" s="131"/>
    </row>
    <row r="237" spans="1:10" ht="39.950000000000003" customHeight="1" x14ac:dyDescent="0.25">
      <c r="A237" s="117" t="s">
        <v>1763</v>
      </c>
      <c r="B237" s="118"/>
      <c r="C237" s="118"/>
      <c r="D237" s="118"/>
      <c r="E237" s="118"/>
      <c r="F237" s="118"/>
      <c r="G237" s="118"/>
      <c r="H237" s="118"/>
      <c r="I237" s="118"/>
      <c r="J237" s="118"/>
    </row>
    <row r="238" spans="1:10" ht="30" customHeight="1" x14ac:dyDescent="0.25">
      <c r="A238" s="5"/>
      <c r="B238" s="3" t="s">
        <v>2</v>
      </c>
      <c r="C238" s="4" t="s">
        <v>48</v>
      </c>
      <c r="D238" s="4" t="s">
        <v>49</v>
      </c>
      <c r="E238" s="3" t="s">
        <v>9</v>
      </c>
      <c r="F238" s="3" t="s">
        <v>10</v>
      </c>
      <c r="G238" s="4" t="s">
        <v>11</v>
      </c>
      <c r="H238" s="4" t="s">
        <v>17</v>
      </c>
      <c r="I238" s="4" t="s">
        <v>12</v>
      </c>
      <c r="J238" s="4" t="s">
        <v>18</v>
      </c>
    </row>
    <row r="239" spans="1:10" s="94" customFormat="1" ht="24.95" customHeight="1" x14ac:dyDescent="0.25">
      <c r="A239" s="119"/>
      <c r="B239" s="32" t="s">
        <v>888</v>
      </c>
      <c r="C239" s="93" t="s">
        <v>898</v>
      </c>
      <c r="D239" s="93" t="s">
        <v>241</v>
      </c>
      <c r="E239" s="93" t="s">
        <v>273</v>
      </c>
      <c r="F239" s="93" t="s">
        <v>13</v>
      </c>
      <c r="G239" s="15" t="s">
        <v>906</v>
      </c>
      <c r="H239" s="98">
        <v>41300</v>
      </c>
      <c r="I239" s="92" t="s">
        <v>1679</v>
      </c>
      <c r="J239" s="91">
        <v>33000</v>
      </c>
    </row>
    <row r="240" spans="1:10" s="94" customFormat="1" ht="24.95" customHeight="1" x14ac:dyDescent="0.25">
      <c r="A240" s="119"/>
      <c r="B240" s="32" t="s">
        <v>889</v>
      </c>
      <c r="C240" s="93" t="s">
        <v>899</v>
      </c>
      <c r="D240" s="93" t="s">
        <v>260</v>
      </c>
      <c r="E240" s="93" t="s">
        <v>273</v>
      </c>
      <c r="F240" s="93" t="s">
        <v>13</v>
      </c>
      <c r="G240" s="15" t="s">
        <v>906</v>
      </c>
      <c r="H240" s="98">
        <v>41300</v>
      </c>
      <c r="I240" s="92" t="s">
        <v>1679</v>
      </c>
      <c r="J240" s="91">
        <v>33000</v>
      </c>
    </row>
    <row r="241" spans="1:10" s="94" customFormat="1" ht="24.95" customHeight="1" x14ac:dyDescent="0.25">
      <c r="A241" s="119"/>
      <c r="B241" s="32" t="s">
        <v>890</v>
      </c>
      <c r="C241" s="93" t="s">
        <v>900</v>
      </c>
      <c r="D241" s="93" t="s">
        <v>536</v>
      </c>
      <c r="E241" s="93" t="s">
        <v>273</v>
      </c>
      <c r="F241" s="93" t="s">
        <v>13</v>
      </c>
      <c r="G241" s="15" t="s">
        <v>906</v>
      </c>
      <c r="H241" s="98">
        <v>42940</v>
      </c>
      <c r="I241" s="92" t="s">
        <v>1679</v>
      </c>
      <c r="J241" s="91">
        <v>34300</v>
      </c>
    </row>
    <row r="242" spans="1:10" s="94" customFormat="1" ht="24.95" customHeight="1" x14ac:dyDescent="0.25">
      <c r="A242" s="119"/>
      <c r="B242" s="32" t="s">
        <v>891</v>
      </c>
      <c r="C242" s="93" t="s">
        <v>901</v>
      </c>
      <c r="D242" s="93" t="s">
        <v>536</v>
      </c>
      <c r="E242" s="93" t="s">
        <v>273</v>
      </c>
      <c r="F242" s="93" t="s">
        <v>13</v>
      </c>
      <c r="G242" s="15" t="s">
        <v>906</v>
      </c>
      <c r="H242" s="98">
        <v>45700</v>
      </c>
      <c r="I242" s="92" t="s">
        <v>1679</v>
      </c>
      <c r="J242" s="91">
        <v>36500</v>
      </c>
    </row>
    <row r="243" spans="1:10" s="94" customFormat="1" ht="24.95" customHeight="1" x14ac:dyDescent="0.25">
      <c r="A243" s="119"/>
      <c r="B243" s="32" t="s">
        <v>892</v>
      </c>
      <c r="C243" s="93" t="s">
        <v>902</v>
      </c>
      <c r="D243" s="93" t="s">
        <v>537</v>
      </c>
      <c r="E243" s="93" t="s">
        <v>273</v>
      </c>
      <c r="F243" s="93" t="s">
        <v>13</v>
      </c>
      <c r="G243" s="15" t="s">
        <v>906</v>
      </c>
      <c r="H243" s="98">
        <v>56500</v>
      </c>
      <c r="I243" s="92" t="s">
        <v>1679</v>
      </c>
      <c r="J243" s="91">
        <v>45200</v>
      </c>
    </row>
    <row r="244" spans="1:10" s="94" customFormat="1" ht="24.95" customHeight="1" x14ac:dyDescent="0.25">
      <c r="A244" s="119"/>
      <c r="B244" s="32" t="s">
        <v>893</v>
      </c>
      <c r="C244" s="93" t="s">
        <v>903</v>
      </c>
      <c r="D244" s="93" t="s">
        <v>537</v>
      </c>
      <c r="E244" s="93" t="s">
        <v>273</v>
      </c>
      <c r="F244" s="93" t="s">
        <v>13</v>
      </c>
      <c r="G244" s="15" t="s">
        <v>906</v>
      </c>
      <c r="H244" s="98">
        <v>72300</v>
      </c>
      <c r="I244" s="92" t="s">
        <v>1679</v>
      </c>
      <c r="J244" s="91">
        <v>57800</v>
      </c>
    </row>
    <row r="245" spans="1:10" s="94" customFormat="1" ht="24.95" customHeight="1" x14ac:dyDescent="0.25">
      <c r="A245" s="119"/>
      <c r="B245" s="32" t="s">
        <v>894</v>
      </c>
      <c r="C245" s="93" t="s">
        <v>904</v>
      </c>
      <c r="D245" s="93" t="s">
        <v>269</v>
      </c>
      <c r="E245" s="93" t="s">
        <v>273</v>
      </c>
      <c r="F245" s="93" t="s">
        <v>13</v>
      </c>
      <c r="G245" s="15" t="s">
        <v>906</v>
      </c>
      <c r="H245" s="98">
        <v>78300</v>
      </c>
      <c r="I245" s="92" t="s">
        <v>1679</v>
      </c>
      <c r="J245" s="91">
        <v>62600</v>
      </c>
    </row>
    <row r="246" spans="1:10" s="94" customFormat="1" ht="24.95" customHeight="1" x14ac:dyDescent="0.25">
      <c r="A246" s="119"/>
      <c r="B246" s="32" t="s">
        <v>895</v>
      </c>
      <c r="C246" s="93" t="s">
        <v>902</v>
      </c>
      <c r="D246" s="93" t="s">
        <v>537</v>
      </c>
      <c r="E246" s="93" t="s">
        <v>273</v>
      </c>
      <c r="F246" s="93" t="s">
        <v>13</v>
      </c>
      <c r="G246" s="15" t="s">
        <v>906</v>
      </c>
      <c r="H246" s="98">
        <v>78840</v>
      </c>
      <c r="I246" s="92" t="s">
        <v>1679</v>
      </c>
      <c r="J246" s="91">
        <v>63000</v>
      </c>
    </row>
    <row r="247" spans="1:10" s="94" customFormat="1" ht="24.95" customHeight="1" x14ac:dyDescent="0.25">
      <c r="A247" s="119"/>
      <c r="B247" s="32" t="s">
        <v>896</v>
      </c>
      <c r="C247" s="93" t="s">
        <v>904</v>
      </c>
      <c r="D247" s="93" t="s">
        <v>269</v>
      </c>
      <c r="E247" s="93" t="s">
        <v>273</v>
      </c>
      <c r="F247" s="93" t="s">
        <v>13</v>
      </c>
      <c r="G247" s="15" t="s">
        <v>906</v>
      </c>
      <c r="H247" s="98">
        <v>100760</v>
      </c>
      <c r="I247" s="92" t="s">
        <v>1679</v>
      </c>
      <c r="J247" s="91">
        <v>80600</v>
      </c>
    </row>
    <row r="248" spans="1:10" s="94" customFormat="1" ht="24.95" customHeight="1" x14ac:dyDescent="0.25">
      <c r="A248" s="119"/>
      <c r="B248" s="32" t="s">
        <v>897</v>
      </c>
      <c r="C248" s="93" t="s">
        <v>905</v>
      </c>
      <c r="D248" s="93" t="s">
        <v>269</v>
      </c>
      <c r="E248" s="93" t="s">
        <v>273</v>
      </c>
      <c r="F248" s="93" t="s">
        <v>13</v>
      </c>
      <c r="G248" s="15" t="s">
        <v>906</v>
      </c>
      <c r="H248" s="98">
        <v>120540</v>
      </c>
      <c r="I248" s="92" t="s">
        <v>1679</v>
      </c>
      <c r="J248" s="91">
        <v>96400</v>
      </c>
    </row>
    <row r="249" spans="1:10" ht="20.100000000000001" customHeight="1" x14ac:dyDescent="0.25">
      <c r="A249" s="131"/>
      <c r="B249" s="131"/>
      <c r="C249" s="131"/>
      <c r="D249" s="131"/>
      <c r="E249" s="131"/>
      <c r="F249" s="131"/>
      <c r="G249" s="131"/>
      <c r="H249" s="131"/>
      <c r="I249" s="131"/>
      <c r="J249" s="131"/>
    </row>
    <row r="250" spans="1:10" ht="134.25" customHeight="1" x14ac:dyDescent="0.25">
      <c r="A250" s="117" t="s">
        <v>1785</v>
      </c>
      <c r="B250" s="118"/>
      <c r="C250" s="118"/>
      <c r="D250" s="118"/>
      <c r="E250" s="118"/>
      <c r="F250" s="118"/>
      <c r="G250" s="118"/>
      <c r="H250" s="118"/>
      <c r="I250" s="118"/>
      <c r="J250" s="118"/>
    </row>
    <row r="251" spans="1:10" ht="30" customHeight="1" x14ac:dyDescent="0.25">
      <c r="A251" s="67"/>
      <c r="B251" s="39" t="s">
        <v>2</v>
      </c>
      <c r="C251" s="4" t="s">
        <v>48</v>
      </c>
      <c r="D251" s="4" t="s">
        <v>49</v>
      </c>
      <c r="E251" s="39" t="s">
        <v>9</v>
      </c>
      <c r="F251" s="39" t="s">
        <v>10</v>
      </c>
      <c r="G251" s="4" t="s">
        <v>11</v>
      </c>
      <c r="H251" s="4" t="s">
        <v>17</v>
      </c>
      <c r="I251" s="4" t="s">
        <v>12</v>
      </c>
      <c r="J251" s="4" t="s">
        <v>18</v>
      </c>
    </row>
    <row r="252" spans="1:10" s="94" customFormat="1" ht="20.100000000000001" customHeight="1" x14ac:dyDescent="0.25">
      <c r="A252" s="162"/>
      <c r="B252" s="100" t="s">
        <v>1764</v>
      </c>
      <c r="C252" s="95" t="s">
        <v>785</v>
      </c>
      <c r="D252" s="95" t="s">
        <v>791</v>
      </c>
      <c r="E252" s="93" t="s">
        <v>273</v>
      </c>
      <c r="F252" s="93" t="s">
        <v>13</v>
      </c>
      <c r="G252" s="95" t="s">
        <v>912</v>
      </c>
      <c r="H252" s="91">
        <v>35700</v>
      </c>
      <c r="I252" s="92" t="s">
        <v>1679</v>
      </c>
      <c r="J252" s="101">
        <v>28500</v>
      </c>
    </row>
    <row r="253" spans="1:10" s="94" customFormat="1" ht="20.100000000000001" customHeight="1" x14ac:dyDescent="0.25">
      <c r="A253" s="163"/>
      <c r="B253" s="100" t="s">
        <v>1765</v>
      </c>
      <c r="C253" s="95" t="s">
        <v>899</v>
      </c>
      <c r="D253" s="95" t="s">
        <v>241</v>
      </c>
      <c r="E253" s="93" t="s">
        <v>273</v>
      </c>
      <c r="F253" s="93" t="s">
        <v>13</v>
      </c>
      <c r="G253" s="95" t="s">
        <v>912</v>
      </c>
      <c r="H253" s="91">
        <v>35700</v>
      </c>
      <c r="I253" s="92" t="s">
        <v>1679</v>
      </c>
      <c r="J253" s="101">
        <v>28500</v>
      </c>
    </row>
    <row r="254" spans="1:10" s="94" customFormat="1" ht="20.100000000000001" customHeight="1" x14ac:dyDescent="0.25">
      <c r="A254" s="163"/>
      <c r="B254" s="100" t="s">
        <v>1766</v>
      </c>
      <c r="C254" s="95" t="s">
        <v>785</v>
      </c>
      <c r="D254" s="95" t="s">
        <v>791</v>
      </c>
      <c r="E254" s="93" t="s">
        <v>273</v>
      </c>
      <c r="F254" s="93" t="s">
        <v>13</v>
      </c>
      <c r="G254" s="95" t="s">
        <v>1775</v>
      </c>
      <c r="H254" s="91">
        <v>40320</v>
      </c>
      <c r="I254" s="92" t="s">
        <v>1679</v>
      </c>
      <c r="J254" s="101">
        <v>32200</v>
      </c>
    </row>
    <row r="255" spans="1:10" s="94" customFormat="1" ht="20.100000000000001" customHeight="1" x14ac:dyDescent="0.25">
      <c r="A255" s="163"/>
      <c r="B255" s="100" t="s">
        <v>1767</v>
      </c>
      <c r="C255" s="95" t="s">
        <v>899</v>
      </c>
      <c r="D255" s="95" t="s">
        <v>241</v>
      </c>
      <c r="E255" s="93" t="s">
        <v>273</v>
      </c>
      <c r="F255" s="93" t="s">
        <v>13</v>
      </c>
      <c r="G255" s="95" t="s">
        <v>1775</v>
      </c>
      <c r="H255" s="91">
        <v>40320</v>
      </c>
      <c r="I255" s="92" t="s">
        <v>1679</v>
      </c>
      <c r="J255" s="101">
        <v>32200</v>
      </c>
    </row>
    <row r="256" spans="1:10" s="94" customFormat="1" ht="20.100000000000001" customHeight="1" x14ac:dyDescent="0.25">
      <c r="A256" s="163"/>
      <c r="B256" s="100" t="s">
        <v>1768</v>
      </c>
      <c r="C256" s="95" t="s">
        <v>907</v>
      </c>
      <c r="D256" s="95" t="s">
        <v>260</v>
      </c>
      <c r="E256" s="93" t="s">
        <v>273</v>
      </c>
      <c r="F256" s="93" t="s">
        <v>13</v>
      </c>
      <c r="G256" s="95" t="s">
        <v>1775</v>
      </c>
      <c r="H256" s="91">
        <v>40320</v>
      </c>
      <c r="I256" s="92" t="s">
        <v>1679</v>
      </c>
      <c r="J256" s="101">
        <v>32200</v>
      </c>
    </row>
    <row r="257" spans="1:10" s="94" customFormat="1" ht="20.100000000000001" customHeight="1" x14ac:dyDescent="0.25">
      <c r="A257" s="163"/>
      <c r="B257" s="100" t="s">
        <v>1769</v>
      </c>
      <c r="C257" s="95" t="s">
        <v>899</v>
      </c>
      <c r="D257" s="95" t="s">
        <v>241</v>
      </c>
      <c r="E257" s="93" t="s">
        <v>273</v>
      </c>
      <c r="F257" s="93" t="s">
        <v>13</v>
      </c>
      <c r="G257" s="95" t="s">
        <v>922</v>
      </c>
      <c r="H257" s="91">
        <v>45360</v>
      </c>
      <c r="I257" s="92" t="s">
        <v>1679</v>
      </c>
      <c r="J257" s="101">
        <v>36300</v>
      </c>
    </row>
    <row r="258" spans="1:10" s="94" customFormat="1" ht="20.100000000000001" customHeight="1" x14ac:dyDescent="0.25">
      <c r="A258" s="163"/>
      <c r="B258" s="100" t="s">
        <v>1770</v>
      </c>
      <c r="C258" s="95" t="s">
        <v>900</v>
      </c>
      <c r="D258" s="95" t="s">
        <v>260</v>
      </c>
      <c r="E258" s="93" t="s">
        <v>273</v>
      </c>
      <c r="F258" s="93" t="s">
        <v>13</v>
      </c>
      <c r="G258" s="95" t="s">
        <v>922</v>
      </c>
      <c r="H258" s="91">
        <v>45360</v>
      </c>
      <c r="I258" s="92" t="s">
        <v>1679</v>
      </c>
      <c r="J258" s="101">
        <v>36300</v>
      </c>
    </row>
    <row r="259" spans="1:10" s="94" customFormat="1" ht="20.100000000000001" customHeight="1" x14ac:dyDescent="0.25">
      <c r="A259" s="163"/>
      <c r="B259" s="100" t="s">
        <v>1771</v>
      </c>
      <c r="C259" s="95" t="s">
        <v>901</v>
      </c>
      <c r="D259" s="95" t="s">
        <v>536</v>
      </c>
      <c r="E259" s="93" t="s">
        <v>273</v>
      </c>
      <c r="F259" s="93" t="s">
        <v>13</v>
      </c>
      <c r="G259" s="95" t="s">
        <v>922</v>
      </c>
      <c r="H259" s="91">
        <v>45360</v>
      </c>
      <c r="I259" s="92" t="s">
        <v>1679</v>
      </c>
      <c r="J259" s="101">
        <v>36300</v>
      </c>
    </row>
    <row r="260" spans="1:10" s="94" customFormat="1" ht="20.100000000000001" customHeight="1" x14ac:dyDescent="0.25">
      <c r="A260" s="163"/>
      <c r="B260" s="100" t="s">
        <v>1772</v>
      </c>
      <c r="C260" s="95" t="s">
        <v>899</v>
      </c>
      <c r="D260" s="95" t="s">
        <v>241</v>
      </c>
      <c r="E260" s="93" t="s">
        <v>273</v>
      </c>
      <c r="F260" s="93" t="s">
        <v>13</v>
      </c>
      <c r="G260" s="95" t="s">
        <v>908</v>
      </c>
      <c r="H260" s="91">
        <v>52400</v>
      </c>
      <c r="I260" s="92" t="s">
        <v>1679</v>
      </c>
      <c r="J260" s="101">
        <v>41900</v>
      </c>
    </row>
    <row r="261" spans="1:10" s="94" customFormat="1" ht="20.100000000000001" customHeight="1" x14ac:dyDescent="0.25">
      <c r="A261" s="163"/>
      <c r="B261" s="100" t="s">
        <v>1773</v>
      </c>
      <c r="C261" s="95" t="s">
        <v>900</v>
      </c>
      <c r="D261" s="95" t="s">
        <v>260</v>
      </c>
      <c r="E261" s="93" t="s">
        <v>273</v>
      </c>
      <c r="F261" s="93" t="s">
        <v>13</v>
      </c>
      <c r="G261" s="95" t="s">
        <v>908</v>
      </c>
      <c r="H261" s="91">
        <v>52400</v>
      </c>
      <c r="I261" s="92" t="s">
        <v>1679</v>
      </c>
      <c r="J261" s="101">
        <v>41900</v>
      </c>
    </row>
    <row r="262" spans="1:10" s="94" customFormat="1" ht="20.100000000000001" customHeight="1" x14ac:dyDescent="0.25">
      <c r="A262" s="163"/>
      <c r="B262" s="100" t="s">
        <v>1774</v>
      </c>
      <c r="C262" s="95" t="s">
        <v>901</v>
      </c>
      <c r="D262" s="95" t="s">
        <v>536</v>
      </c>
      <c r="E262" s="93" t="s">
        <v>273</v>
      </c>
      <c r="F262" s="93" t="s">
        <v>13</v>
      </c>
      <c r="G262" s="95" t="s">
        <v>908</v>
      </c>
      <c r="H262" s="91">
        <v>55100</v>
      </c>
      <c r="I262" s="92" t="s">
        <v>1679</v>
      </c>
      <c r="J262" s="101">
        <v>44000</v>
      </c>
    </row>
    <row r="263" spans="1:10" s="94" customFormat="1" ht="20.100000000000001" customHeight="1" x14ac:dyDescent="0.25">
      <c r="A263" s="120" t="s">
        <v>909</v>
      </c>
      <c r="B263" s="120"/>
      <c r="C263" s="120"/>
      <c r="D263" s="120"/>
      <c r="E263" s="120"/>
      <c r="F263" s="120"/>
      <c r="G263" s="120"/>
      <c r="H263" s="120"/>
      <c r="I263" s="120"/>
      <c r="J263" s="120"/>
    </row>
    <row r="264" spans="1:10" s="94" customFormat="1" ht="60" customHeight="1" x14ac:dyDescent="0.25">
      <c r="A264" s="102"/>
      <c r="B264" s="154" t="s">
        <v>1815</v>
      </c>
      <c r="C264" s="155"/>
      <c r="D264" s="155"/>
      <c r="E264" s="155"/>
      <c r="F264" s="155"/>
      <c r="G264" s="156"/>
      <c r="H264" s="91">
        <v>4400</v>
      </c>
      <c r="I264" s="92" t="s">
        <v>1679</v>
      </c>
      <c r="J264" s="91">
        <v>3500</v>
      </c>
    </row>
    <row r="265" spans="1:10" s="94" customFormat="1" ht="60" customHeight="1" x14ac:dyDescent="0.25">
      <c r="A265" s="102"/>
      <c r="B265" s="120" t="s">
        <v>1814</v>
      </c>
      <c r="C265" s="120"/>
      <c r="D265" s="120"/>
      <c r="E265" s="120"/>
      <c r="F265" s="120"/>
      <c r="G265" s="120"/>
      <c r="H265" s="91">
        <v>6840</v>
      </c>
      <c r="I265" s="92" t="s">
        <v>1679</v>
      </c>
      <c r="J265" s="91">
        <v>5500</v>
      </c>
    </row>
    <row r="266" spans="1:10" s="94" customFormat="1" ht="60" customHeight="1" x14ac:dyDescent="0.25">
      <c r="A266" s="103"/>
      <c r="B266" s="164" t="s">
        <v>1816</v>
      </c>
      <c r="C266" s="165"/>
      <c r="D266" s="165"/>
      <c r="E266" s="165"/>
      <c r="F266" s="165"/>
      <c r="G266" s="166"/>
      <c r="H266" s="91">
        <v>9450</v>
      </c>
      <c r="I266" s="92" t="s">
        <v>1679</v>
      </c>
      <c r="J266" s="91">
        <v>7500</v>
      </c>
    </row>
    <row r="267" spans="1:10" s="94" customFormat="1" ht="60" customHeight="1" x14ac:dyDescent="0.25">
      <c r="A267" s="102"/>
      <c r="B267" s="164" t="s">
        <v>1817</v>
      </c>
      <c r="C267" s="165"/>
      <c r="D267" s="165"/>
      <c r="E267" s="165"/>
      <c r="F267" s="165"/>
      <c r="G267" s="166"/>
      <c r="H267" s="91">
        <v>12550</v>
      </c>
      <c r="I267" s="92" t="s">
        <v>1679</v>
      </c>
      <c r="J267" s="91">
        <v>10000</v>
      </c>
    </row>
    <row r="268" spans="1:10" s="94" customFormat="1" ht="60" customHeight="1" x14ac:dyDescent="0.25">
      <c r="A268" s="102"/>
      <c r="B268" s="154" t="s">
        <v>1079</v>
      </c>
      <c r="C268" s="155"/>
      <c r="D268" s="155"/>
      <c r="E268" s="155"/>
      <c r="F268" s="155"/>
      <c r="G268" s="156"/>
      <c r="H268" s="91">
        <v>7960</v>
      </c>
      <c r="I268" s="92" t="s">
        <v>1679</v>
      </c>
      <c r="J268" s="91">
        <v>6300</v>
      </c>
    </row>
    <row r="269" spans="1:10" s="94" customFormat="1" ht="60" customHeight="1" x14ac:dyDescent="0.25">
      <c r="A269" s="103"/>
      <c r="B269" s="154" t="s">
        <v>1080</v>
      </c>
      <c r="C269" s="155"/>
      <c r="D269" s="155"/>
      <c r="E269" s="155"/>
      <c r="F269" s="155"/>
      <c r="G269" s="156"/>
      <c r="H269" s="91">
        <v>11990</v>
      </c>
      <c r="I269" s="92" t="s">
        <v>1679</v>
      </c>
      <c r="J269" s="91">
        <v>9600</v>
      </c>
    </row>
    <row r="270" spans="1:10" s="94" customFormat="1" ht="60" customHeight="1" x14ac:dyDescent="0.25">
      <c r="A270" s="102"/>
      <c r="B270" s="154" t="s">
        <v>1315</v>
      </c>
      <c r="C270" s="155"/>
      <c r="D270" s="155"/>
      <c r="E270" s="155"/>
      <c r="F270" s="155"/>
      <c r="G270" s="156"/>
      <c r="H270" s="91">
        <v>16030</v>
      </c>
      <c r="I270" s="92" t="s">
        <v>1679</v>
      </c>
      <c r="J270" s="91">
        <v>12800</v>
      </c>
    </row>
    <row r="271" spans="1:10" s="94" customFormat="1" ht="60" customHeight="1" x14ac:dyDescent="0.25">
      <c r="A271" s="103"/>
      <c r="B271" s="154" t="s">
        <v>1081</v>
      </c>
      <c r="C271" s="155"/>
      <c r="D271" s="155"/>
      <c r="E271" s="155"/>
      <c r="F271" s="155"/>
      <c r="G271" s="156"/>
      <c r="H271" s="91">
        <v>17270</v>
      </c>
      <c r="I271" s="92" t="s">
        <v>1679</v>
      </c>
      <c r="J271" s="91">
        <v>13800</v>
      </c>
    </row>
    <row r="272" spans="1:10" s="94" customFormat="1" ht="60" customHeight="1" x14ac:dyDescent="0.25">
      <c r="A272" s="97"/>
      <c r="B272" s="154" t="s">
        <v>1786</v>
      </c>
      <c r="C272" s="155"/>
      <c r="D272" s="155"/>
      <c r="E272" s="155"/>
      <c r="F272" s="155"/>
      <c r="G272" s="156"/>
      <c r="H272" s="91">
        <v>24090</v>
      </c>
      <c r="I272" s="92" t="s">
        <v>1679</v>
      </c>
      <c r="J272" s="91">
        <v>19300</v>
      </c>
    </row>
    <row r="273" spans="1:10" s="94" customFormat="1" ht="60" customHeight="1" x14ac:dyDescent="0.25">
      <c r="A273" s="97"/>
      <c r="B273" s="154" t="s">
        <v>1787</v>
      </c>
      <c r="C273" s="155"/>
      <c r="D273" s="155"/>
      <c r="E273" s="155"/>
      <c r="F273" s="155"/>
      <c r="G273" s="156"/>
      <c r="H273" s="91">
        <v>25190</v>
      </c>
      <c r="I273" s="92" t="s">
        <v>1679</v>
      </c>
      <c r="J273" s="91">
        <v>20100</v>
      </c>
    </row>
    <row r="274" spans="1:10" s="94" customFormat="1" ht="20.100000000000001" customHeight="1" x14ac:dyDescent="0.25">
      <c r="A274" s="120" t="s">
        <v>1776</v>
      </c>
      <c r="B274" s="120"/>
      <c r="C274" s="120"/>
      <c r="D274" s="120"/>
      <c r="E274" s="120"/>
      <c r="F274" s="120"/>
      <c r="G274" s="120"/>
      <c r="H274" s="120"/>
      <c r="I274" s="120"/>
      <c r="J274" s="120"/>
    </row>
    <row r="275" spans="1:10" s="94" customFormat="1" ht="60" customHeight="1" x14ac:dyDescent="0.25">
      <c r="A275" s="103"/>
      <c r="B275" s="120" t="s">
        <v>910</v>
      </c>
      <c r="C275" s="120"/>
      <c r="D275" s="120"/>
      <c r="E275" s="120"/>
      <c r="F275" s="120"/>
      <c r="G275" s="120"/>
      <c r="H275" s="91">
        <v>2760</v>
      </c>
      <c r="I275" s="92">
        <v>0</v>
      </c>
      <c r="J275" s="91">
        <f t="shared" ref="J275:J282" si="0">CEILING(H275*1,10)</f>
        <v>2760</v>
      </c>
    </row>
    <row r="276" spans="1:10" s="94" customFormat="1" ht="60" customHeight="1" x14ac:dyDescent="0.25">
      <c r="A276" s="102"/>
      <c r="B276" s="157" t="s">
        <v>1788</v>
      </c>
      <c r="C276" s="120"/>
      <c r="D276" s="120"/>
      <c r="E276" s="120"/>
      <c r="F276" s="120"/>
      <c r="G276" s="120"/>
      <c r="H276" s="91">
        <v>12760</v>
      </c>
      <c r="I276" s="92">
        <v>0</v>
      </c>
      <c r="J276" s="91">
        <f t="shared" si="0"/>
        <v>12760</v>
      </c>
    </row>
    <row r="277" spans="1:10" s="94" customFormat="1" ht="60" customHeight="1" x14ac:dyDescent="0.25">
      <c r="A277" s="102"/>
      <c r="B277" s="157" t="s">
        <v>1789</v>
      </c>
      <c r="C277" s="120"/>
      <c r="D277" s="120"/>
      <c r="E277" s="120"/>
      <c r="F277" s="120"/>
      <c r="G277" s="120"/>
      <c r="H277" s="91">
        <v>6300</v>
      </c>
      <c r="I277" s="92">
        <v>0</v>
      </c>
      <c r="J277" s="91">
        <f t="shared" si="0"/>
        <v>6300</v>
      </c>
    </row>
    <row r="278" spans="1:10" s="94" customFormat="1" ht="60" customHeight="1" x14ac:dyDescent="0.25">
      <c r="A278" s="102"/>
      <c r="B278" s="157" t="s">
        <v>1790</v>
      </c>
      <c r="C278" s="120"/>
      <c r="D278" s="120"/>
      <c r="E278" s="120"/>
      <c r="F278" s="120"/>
      <c r="G278" s="120"/>
      <c r="H278" s="91">
        <v>8190</v>
      </c>
      <c r="I278" s="92">
        <v>0</v>
      </c>
      <c r="J278" s="91">
        <f t="shared" si="0"/>
        <v>8190</v>
      </c>
    </row>
    <row r="279" spans="1:10" s="94" customFormat="1" ht="60" customHeight="1" x14ac:dyDescent="0.25">
      <c r="A279" s="102"/>
      <c r="B279" s="157" t="s">
        <v>1791</v>
      </c>
      <c r="C279" s="120"/>
      <c r="D279" s="120"/>
      <c r="E279" s="120"/>
      <c r="F279" s="120"/>
      <c r="G279" s="120"/>
      <c r="H279" s="91">
        <v>11240</v>
      </c>
      <c r="I279" s="92">
        <v>0</v>
      </c>
      <c r="J279" s="91">
        <f t="shared" si="0"/>
        <v>11240</v>
      </c>
    </row>
    <row r="280" spans="1:10" s="94" customFormat="1" ht="60" customHeight="1" x14ac:dyDescent="0.25">
      <c r="A280" s="102"/>
      <c r="B280" s="157" t="s">
        <v>1792</v>
      </c>
      <c r="C280" s="120"/>
      <c r="D280" s="120"/>
      <c r="E280" s="120"/>
      <c r="F280" s="120"/>
      <c r="G280" s="120"/>
      <c r="H280" s="91">
        <v>7350</v>
      </c>
      <c r="I280" s="92">
        <v>0</v>
      </c>
      <c r="J280" s="91">
        <f t="shared" si="0"/>
        <v>7350</v>
      </c>
    </row>
    <row r="281" spans="1:10" s="94" customFormat="1" ht="60" customHeight="1" x14ac:dyDescent="0.25">
      <c r="A281" s="102"/>
      <c r="B281" s="157" t="s">
        <v>1793</v>
      </c>
      <c r="C281" s="120"/>
      <c r="D281" s="120"/>
      <c r="E281" s="120"/>
      <c r="F281" s="120"/>
      <c r="G281" s="120"/>
      <c r="H281" s="91">
        <v>8190</v>
      </c>
      <c r="I281" s="92">
        <v>0</v>
      </c>
      <c r="J281" s="91">
        <f t="shared" si="0"/>
        <v>8190</v>
      </c>
    </row>
    <row r="282" spans="1:10" s="94" customFormat="1" ht="60" customHeight="1" x14ac:dyDescent="0.25">
      <c r="A282" s="102"/>
      <c r="B282" s="157" t="s">
        <v>1794</v>
      </c>
      <c r="C282" s="120"/>
      <c r="D282" s="120"/>
      <c r="E282" s="120"/>
      <c r="F282" s="120"/>
      <c r="G282" s="120"/>
      <c r="H282" s="91">
        <v>9450</v>
      </c>
      <c r="I282" s="92">
        <v>0</v>
      </c>
      <c r="J282" s="91">
        <f t="shared" si="0"/>
        <v>9450</v>
      </c>
    </row>
    <row r="283" spans="1:10" ht="20.100000000000001" customHeight="1" x14ac:dyDescent="0.25">
      <c r="A283" s="131"/>
      <c r="B283" s="131"/>
      <c r="C283" s="131"/>
      <c r="D283" s="131"/>
      <c r="E283" s="131"/>
      <c r="F283" s="131"/>
      <c r="G283" s="131"/>
      <c r="H283" s="131"/>
      <c r="I283" s="131"/>
      <c r="J283" s="131"/>
    </row>
    <row r="284" spans="1:10" ht="30" customHeight="1" x14ac:dyDescent="0.25">
      <c r="A284" s="118" t="s">
        <v>911</v>
      </c>
      <c r="B284" s="118"/>
      <c r="C284" s="118"/>
      <c r="D284" s="118"/>
      <c r="E284" s="118"/>
      <c r="F284" s="118"/>
      <c r="G284" s="118"/>
      <c r="H284" s="118"/>
      <c r="I284" s="118"/>
      <c r="J284" s="118"/>
    </row>
    <row r="285" spans="1:10" ht="30" customHeight="1" x14ac:dyDescent="0.25">
      <c r="A285" s="5"/>
      <c r="B285" s="39" t="s">
        <v>2</v>
      </c>
      <c r="C285" s="4" t="s">
        <v>48</v>
      </c>
      <c r="D285" s="4" t="s">
        <v>49</v>
      </c>
      <c r="E285" s="3" t="s">
        <v>9</v>
      </c>
      <c r="F285" s="3" t="s">
        <v>10</v>
      </c>
      <c r="G285" s="4" t="s">
        <v>11</v>
      </c>
      <c r="H285" s="4" t="s">
        <v>17</v>
      </c>
      <c r="I285" s="4" t="s">
        <v>12</v>
      </c>
      <c r="J285" s="4" t="s">
        <v>18</v>
      </c>
    </row>
    <row r="286" spans="1:10" s="94" customFormat="1" ht="60" customHeight="1" x14ac:dyDescent="0.25">
      <c r="A286" s="119"/>
      <c r="B286" s="32" t="s">
        <v>1173</v>
      </c>
      <c r="C286" s="93" t="s">
        <v>899</v>
      </c>
      <c r="D286" s="93" t="s">
        <v>241</v>
      </c>
      <c r="E286" s="93" t="s">
        <v>273</v>
      </c>
      <c r="F286" s="93" t="s">
        <v>13</v>
      </c>
      <c r="G286" s="15" t="s">
        <v>912</v>
      </c>
      <c r="H286" s="98">
        <v>44180</v>
      </c>
      <c r="I286" s="92" t="s">
        <v>1679</v>
      </c>
      <c r="J286" s="91">
        <v>35300</v>
      </c>
    </row>
    <row r="287" spans="1:10" s="94" customFormat="1" ht="60" customHeight="1" x14ac:dyDescent="0.25">
      <c r="A287" s="119"/>
      <c r="B287" s="32" t="s">
        <v>1175</v>
      </c>
      <c r="C287" s="93" t="s">
        <v>900</v>
      </c>
      <c r="D287" s="93" t="s">
        <v>260</v>
      </c>
      <c r="E287" s="93" t="s">
        <v>273</v>
      </c>
      <c r="F287" s="93" t="s">
        <v>13</v>
      </c>
      <c r="G287" s="15" t="s">
        <v>912</v>
      </c>
      <c r="H287" s="98">
        <v>44180</v>
      </c>
      <c r="I287" s="92" t="s">
        <v>1679</v>
      </c>
      <c r="J287" s="91">
        <v>35300</v>
      </c>
    </row>
    <row r="288" spans="1:10" s="94" customFormat="1" ht="20.100000000000001" customHeight="1" x14ac:dyDescent="0.25">
      <c r="A288" s="154" t="s">
        <v>909</v>
      </c>
      <c r="B288" s="155"/>
      <c r="C288" s="155"/>
      <c r="D288" s="155"/>
      <c r="E288" s="155"/>
      <c r="F288" s="155"/>
      <c r="G288" s="155"/>
      <c r="H288" s="155"/>
      <c r="I288" s="155"/>
      <c r="J288" s="156"/>
    </row>
    <row r="289" spans="1:10" s="94" customFormat="1" ht="60" customHeight="1" x14ac:dyDescent="0.25">
      <c r="A289" s="102"/>
      <c r="B289" s="154" t="s">
        <v>1815</v>
      </c>
      <c r="C289" s="155"/>
      <c r="D289" s="155"/>
      <c r="E289" s="155"/>
      <c r="F289" s="155"/>
      <c r="G289" s="156"/>
      <c r="H289" s="91">
        <v>4400</v>
      </c>
      <c r="I289" s="92" t="s">
        <v>1679</v>
      </c>
      <c r="J289" s="91">
        <v>3500</v>
      </c>
    </row>
    <row r="290" spans="1:10" s="94" customFormat="1" ht="60" customHeight="1" x14ac:dyDescent="0.25">
      <c r="A290" s="102"/>
      <c r="B290" s="154" t="s">
        <v>1814</v>
      </c>
      <c r="C290" s="155"/>
      <c r="D290" s="155"/>
      <c r="E290" s="155"/>
      <c r="F290" s="155"/>
      <c r="G290" s="156"/>
      <c r="H290" s="91">
        <v>6840</v>
      </c>
      <c r="I290" s="92" t="s">
        <v>1679</v>
      </c>
      <c r="J290" s="91">
        <v>5500</v>
      </c>
    </row>
    <row r="291" spans="1:10" s="94" customFormat="1" ht="60" customHeight="1" x14ac:dyDescent="0.25">
      <c r="A291" s="103"/>
      <c r="B291" s="154" t="s">
        <v>1816</v>
      </c>
      <c r="C291" s="155"/>
      <c r="D291" s="155"/>
      <c r="E291" s="155"/>
      <c r="F291" s="155"/>
      <c r="G291" s="156"/>
      <c r="H291" s="91">
        <v>9450</v>
      </c>
      <c r="I291" s="92" t="s">
        <v>1679</v>
      </c>
      <c r="J291" s="91">
        <v>7500</v>
      </c>
    </row>
    <row r="292" spans="1:10" s="94" customFormat="1" ht="60" customHeight="1" x14ac:dyDescent="0.25">
      <c r="A292" s="102"/>
      <c r="B292" s="154" t="s">
        <v>1817</v>
      </c>
      <c r="C292" s="155"/>
      <c r="D292" s="155"/>
      <c r="E292" s="155"/>
      <c r="F292" s="155"/>
      <c r="G292" s="156"/>
      <c r="H292" s="91">
        <v>12550</v>
      </c>
      <c r="I292" s="92" t="s">
        <v>1679</v>
      </c>
      <c r="J292" s="91">
        <v>10000</v>
      </c>
    </row>
    <row r="293" spans="1:10" s="94" customFormat="1" ht="60" customHeight="1" x14ac:dyDescent="0.25">
      <c r="A293" s="102"/>
      <c r="B293" s="154" t="s">
        <v>1079</v>
      </c>
      <c r="C293" s="155"/>
      <c r="D293" s="155"/>
      <c r="E293" s="155"/>
      <c r="F293" s="155"/>
      <c r="G293" s="156"/>
      <c r="H293" s="91">
        <v>7960</v>
      </c>
      <c r="I293" s="92" t="s">
        <v>1679</v>
      </c>
      <c r="J293" s="91">
        <v>6300</v>
      </c>
    </row>
    <row r="294" spans="1:10" s="94" customFormat="1" ht="60" customHeight="1" x14ac:dyDescent="0.25">
      <c r="A294" s="103"/>
      <c r="B294" s="154" t="s">
        <v>1080</v>
      </c>
      <c r="C294" s="155"/>
      <c r="D294" s="155"/>
      <c r="E294" s="155"/>
      <c r="F294" s="155"/>
      <c r="G294" s="156"/>
      <c r="H294" s="91">
        <v>11990</v>
      </c>
      <c r="I294" s="92" t="s">
        <v>1679</v>
      </c>
      <c r="J294" s="91">
        <v>9600</v>
      </c>
    </row>
    <row r="295" spans="1:10" s="94" customFormat="1" ht="60" customHeight="1" x14ac:dyDescent="0.25">
      <c r="A295" s="102"/>
      <c r="B295" s="154" t="s">
        <v>1315</v>
      </c>
      <c r="C295" s="155"/>
      <c r="D295" s="155"/>
      <c r="E295" s="155"/>
      <c r="F295" s="155"/>
      <c r="G295" s="156"/>
      <c r="H295" s="91">
        <v>16030</v>
      </c>
      <c r="I295" s="92" t="s">
        <v>1679</v>
      </c>
      <c r="J295" s="91">
        <v>12800</v>
      </c>
    </row>
    <row r="296" spans="1:10" s="94" customFormat="1" ht="60" customHeight="1" x14ac:dyDescent="0.25">
      <c r="A296" s="103"/>
      <c r="B296" s="154" t="s">
        <v>1081</v>
      </c>
      <c r="C296" s="155"/>
      <c r="D296" s="155"/>
      <c r="E296" s="155"/>
      <c r="F296" s="155"/>
      <c r="G296" s="156"/>
      <c r="H296" s="91">
        <v>17270</v>
      </c>
      <c r="I296" s="92" t="s">
        <v>1679</v>
      </c>
      <c r="J296" s="91">
        <v>13800</v>
      </c>
    </row>
    <row r="297" spans="1:10" s="94" customFormat="1" ht="60" customHeight="1" x14ac:dyDescent="0.25">
      <c r="A297" s="97"/>
      <c r="B297" s="154" t="s">
        <v>1786</v>
      </c>
      <c r="C297" s="155"/>
      <c r="D297" s="155"/>
      <c r="E297" s="155"/>
      <c r="F297" s="155"/>
      <c r="G297" s="156"/>
      <c r="H297" s="91">
        <v>24090</v>
      </c>
      <c r="I297" s="92" t="s">
        <v>1679</v>
      </c>
      <c r="J297" s="91">
        <v>19300</v>
      </c>
    </row>
    <row r="298" spans="1:10" s="94" customFormat="1" ht="60" customHeight="1" x14ac:dyDescent="0.25">
      <c r="A298" s="97"/>
      <c r="B298" s="154" t="s">
        <v>1787</v>
      </c>
      <c r="C298" s="155"/>
      <c r="D298" s="155"/>
      <c r="E298" s="155"/>
      <c r="F298" s="155"/>
      <c r="G298" s="156"/>
      <c r="H298" s="91">
        <v>25190</v>
      </c>
      <c r="I298" s="92" t="s">
        <v>1679</v>
      </c>
      <c r="J298" s="91">
        <v>20100</v>
      </c>
    </row>
    <row r="299" spans="1:10" s="94" customFormat="1" ht="20.100000000000001" customHeight="1" x14ac:dyDescent="0.25">
      <c r="A299" s="154" t="s">
        <v>1776</v>
      </c>
      <c r="B299" s="155"/>
      <c r="C299" s="155"/>
      <c r="D299" s="155"/>
      <c r="E299" s="155"/>
      <c r="F299" s="155"/>
      <c r="G299" s="155"/>
      <c r="H299" s="155"/>
      <c r="I299" s="155"/>
      <c r="J299" s="156"/>
    </row>
    <row r="300" spans="1:10" s="94" customFormat="1" ht="60" customHeight="1" x14ac:dyDescent="0.25">
      <c r="A300" s="103"/>
      <c r="B300" s="154" t="s">
        <v>910</v>
      </c>
      <c r="C300" s="155"/>
      <c r="D300" s="155"/>
      <c r="E300" s="155"/>
      <c r="F300" s="155"/>
      <c r="G300" s="156"/>
      <c r="H300" s="91">
        <v>2760</v>
      </c>
      <c r="I300" s="92">
        <v>0</v>
      </c>
      <c r="J300" s="91">
        <f>CEILING(H300*1,10)</f>
        <v>2760</v>
      </c>
    </row>
    <row r="301" spans="1:10" s="94" customFormat="1" ht="60" customHeight="1" x14ac:dyDescent="0.25">
      <c r="A301" s="102"/>
      <c r="B301" s="167" t="s">
        <v>1788</v>
      </c>
      <c r="C301" s="168"/>
      <c r="D301" s="168"/>
      <c r="E301" s="168"/>
      <c r="F301" s="168"/>
      <c r="G301" s="169"/>
      <c r="H301" s="91">
        <v>12760</v>
      </c>
      <c r="I301" s="92">
        <v>0</v>
      </c>
      <c r="J301" s="91">
        <f>CEILING(H301*1,10)</f>
        <v>12760</v>
      </c>
    </row>
    <row r="302" spans="1:10" ht="20.100000000000001" customHeight="1" x14ac:dyDescent="0.25">
      <c r="A302" s="131"/>
      <c r="B302" s="131"/>
      <c r="C302" s="131"/>
      <c r="D302" s="131"/>
      <c r="E302" s="131"/>
      <c r="F302" s="131"/>
      <c r="G302" s="131"/>
      <c r="H302" s="131"/>
      <c r="I302" s="131"/>
      <c r="J302" s="131"/>
    </row>
    <row r="303" spans="1:10" ht="30" customHeight="1" x14ac:dyDescent="0.25">
      <c r="A303" s="118" t="s">
        <v>913</v>
      </c>
      <c r="B303" s="118"/>
      <c r="C303" s="118"/>
      <c r="D303" s="118"/>
      <c r="E303" s="118"/>
      <c r="F303" s="118"/>
      <c r="G303" s="118"/>
      <c r="H303" s="118"/>
      <c r="I303" s="118"/>
      <c r="J303" s="118"/>
    </row>
    <row r="304" spans="1:10" ht="30" customHeight="1" x14ac:dyDescent="0.25">
      <c r="A304" s="86"/>
      <c r="B304" s="39" t="s">
        <v>2</v>
      </c>
      <c r="C304" s="4" t="s">
        <v>48</v>
      </c>
      <c r="D304" s="4" t="s">
        <v>49</v>
      </c>
      <c r="E304" s="39" t="s">
        <v>9</v>
      </c>
      <c r="F304" s="39" t="s">
        <v>10</v>
      </c>
      <c r="G304" s="4" t="s">
        <v>11</v>
      </c>
      <c r="H304" s="4" t="s">
        <v>17</v>
      </c>
      <c r="I304" s="4" t="s">
        <v>12</v>
      </c>
      <c r="J304" s="4" t="s">
        <v>18</v>
      </c>
    </row>
    <row r="305" spans="1:10" s="94" customFormat="1" ht="27.95" customHeight="1" x14ac:dyDescent="0.25">
      <c r="A305" s="119"/>
      <c r="B305" s="100" t="s">
        <v>914</v>
      </c>
      <c r="C305" s="93" t="s">
        <v>899</v>
      </c>
      <c r="D305" s="93" t="s">
        <v>241</v>
      </c>
      <c r="E305" s="93" t="s">
        <v>273</v>
      </c>
      <c r="F305" s="93" t="s">
        <v>13</v>
      </c>
      <c r="G305" s="15" t="s">
        <v>912</v>
      </c>
      <c r="H305" s="98">
        <v>53790</v>
      </c>
      <c r="I305" s="92" t="s">
        <v>1679</v>
      </c>
      <c r="J305" s="91">
        <v>43000</v>
      </c>
    </row>
    <row r="306" spans="1:10" s="94" customFormat="1" ht="27.95" customHeight="1" x14ac:dyDescent="0.25">
      <c r="A306" s="119"/>
      <c r="B306" s="100" t="s">
        <v>915</v>
      </c>
      <c r="C306" s="93" t="s">
        <v>907</v>
      </c>
      <c r="D306" s="93" t="s">
        <v>260</v>
      </c>
      <c r="E306" s="93" t="s">
        <v>273</v>
      </c>
      <c r="F306" s="93" t="s">
        <v>13</v>
      </c>
      <c r="G306" s="15" t="s">
        <v>912</v>
      </c>
      <c r="H306" s="98">
        <v>53790</v>
      </c>
      <c r="I306" s="92" t="s">
        <v>1679</v>
      </c>
      <c r="J306" s="91">
        <v>43000</v>
      </c>
    </row>
    <row r="307" spans="1:10" s="94" customFormat="1" ht="27.95" customHeight="1" x14ac:dyDescent="0.25">
      <c r="A307" s="119"/>
      <c r="B307" s="100" t="s">
        <v>916</v>
      </c>
      <c r="C307" s="93" t="s">
        <v>899</v>
      </c>
      <c r="D307" s="93" t="s">
        <v>241</v>
      </c>
      <c r="E307" s="93" t="s">
        <v>273</v>
      </c>
      <c r="F307" s="93" t="s">
        <v>13</v>
      </c>
      <c r="G307" s="15" t="s">
        <v>922</v>
      </c>
      <c r="H307" s="98">
        <v>63120</v>
      </c>
      <c r="I307" s="92" t="s">
        <v>1679</v>
      </c>
      <c r="J307" s="91">
        <v>50500</v>
      </c>
    </row>
    <row r="308" spans="1:10" s="94" customFormat="1" ht="27.95" customHeight="1" x14ac:dyDescent="0.25">
      <c r="A308" s="119"/>
      <c r="B308" s="100" t="s">
        <v>917</v>
      </c>
      <c r="C308" s="93" t="s">
        <v>900</v>
      </c>
      <c r="D308" s="93" t="s">
        <v>260</v>
      </c>
      <c r="E308" s="93" t="s">
        <v>273</v>
      </c>
      <c r="F308" s="93" t="s">
        <v>13</v>
      </c>
      <c r="G308" s="15" t="s">
        <v>922</v>
      </c>
      <c r="H308" s="98">
        <v>63120</v>
      </c>
      <c r="I308" s="92" t="s">
        <v>1679</v>
      </c>
      <c r="J308" s="91">
        <v>50500</v>
      </c>
    </row>
    <row r="309" spans="1:10" s="94" customFormat="1" ht="27.95" customHeight="1" x14ac:dyDescent="0.25">
      <c r="A309" s="119"/>
      <c r="B309" s="100" t="s">
        <v>918</v>
      </c>
      <c r="C309" s="93" t="s">
        <v>899</v>
      </c>
      <c r="D309" s="93" t="s">
        <v>241</v>
      </c>
      <c r="E309" s="93" t="s">
        <v>273</v>
      </c>
      <c r="F309" s="93" t="s">
        <v>13</v>
      </c>
      <c r="G309" s="15" t="s">
        <v>912</v>
      </c>
      <c r="H309" s="98">
        <v>86400</v>
      </c>
      <c r="I309" s="92" t="s">
        <v>1679</v>
      </c>
      <c r="J309" s="91">
        <v>69100</v>
      </c>
    </row>
    <row r="310" spans="1:10" s="94" customFormat="1" ht="27.95" customHeight="1" x14ac:dyDescent="0.25">
      <c r="A310" s="119"/>
      <c r="B310" s="100" t="s">
        <v>919</v>
      </c>
      <c r="C310" s="93" t="s">
        <v>907</v>
      </c>
      <c r="D310" s="93" t="s">
        <v>260</v>
      </c>
      <c r="E310" s="93" t="s">
        <v>273</v>
      </c>
      <c r="F310" s="93" t="s">
        <v>13</v>
      </c>
      <c r="G310" s="15" t="s">
        <v>912</v>
      </c>
      <c r="H310" s="98">
        <v>86400</v>
      </c>
      <c r="I310" s="92" t="s">
        <v>1679</v>
      </c>
      <c r="J310" s="91">
        <v>69100</v>
      </c>
    </row>
    <row r="311" spans="1:10" s="94" customFormat="1" ht="27.95" customHeight="1" x14ac:dyDescent="0.25">
      <c r="A311" s="119"/>
      <c r="B311" s="100" t="s">
        <v>920</v>
      </c>
      <c r="C311" s="93" t="s">
        <v>899</v>
      </c>
      <c r="D311" s="93" t="s">
        <v>241</v>
      </c>
      <c r="E311" s="93" t="s">
        <v>273</v>
      </c>
      <c r="F311" s="93" t="s">
        <v>13</v>
      </c>
      <c r="G311" s="15" t="s">
        <v>922</v>
      </c>
      <c r="H311" s="98">
        <v>118420</v>
      </c>
      <c r="I311" s="92" t="s">
        <v>1679</v>
      </c>
      <c r="J311" s="91">
        <v>94700</v>
      </c>
    </row>
    <row r="312" spans="1:10" s="94" customFormat="1" ht="27.95" customHeight="1" x14ac:dyDescent="0.25">
      <c r="A312" s="119"/>
      <c r="B312" s="100" t="s">
        <v>921</v>
      </c>
      <c r="C312" s="93" t="s">
        <v>900</v>
      </c>
      <c r="D312" s="93" t="s">
        <v>260</v>
      </c>
      <c r="E312" s="93" t="s">
        <v>273</v>
      </c>
      <c r="F312" s="93" t="s">
        <v>13</v>
      </c>
      <c r="G312" s="15" t="s">
        <v>922</v>
      </c>
      <c r="H312" s="98">
        <v>118420</v>
      </c>
      <c r="I312" s="92" t="s">
        <v>1679</v>
      </c>
      <c r="J312" s="91">
        <v>94700</v>
      </c>
    </row>
    <row r="313" spans="1:10" s="94" customFormat="1" ht="20.100000000000001" customHeight="1" x14ac:dyDescent="0.25">
      <c r="A313" s="154" t="s">
        <v>909</v>
      </c>
      <c r="B313" s="155"/>
      <c r="C313" s="155"/>
      <c r="D313" s="155"/>
      <c r="E313" s="155"/>
      <c r="F313" s="155"/>
      <c r="G313" s="155"/>
      <c r="H313" s="155"/>
      <c r="I313" s="155"/>
      <c r="J313" s="156"/>
    </row>
    <row r="314" spans="1:10" s="94" customFormat="1" ht="60" customHeight="1" x14ac:dyDescent="0.25">
      <c r="A314" s="102"/>
      <c r="B314" s="154" t="s">
        <v>1815</v>
      </c>
      <c r="C314" s="155"/>
      <c r="D314" s="155"/>
      <c r="E314" s="155"/>
      <c r="F314" s="155"/>
      <c r="G314" s="156"/>
      <c r="H314" s="91">
        <v>4400</v>
      </c>
      <c r="I314" s="92" t="s">
        <v>1679</v>
      </c>
      <c r="J314" s="91">
        <v>3500</v>
      </c>
    </row>
    <row r="315" spans="1:10" s="94" customFormat="1" ht="60" customHeight="1" x14ac:dyDescent="0.25">
      <c r="A315" s="102"/>
      <c r="B315" s="154" t="s">
        <v>1814</v>
      </c>
      <c r="C315" s="155"/>
      <c r="D315" s="155"/>
      <c r="E315" s="155"/>
      <c r="F315" s="155"/>
      <c r="G315" s="156"/>
      <c r="H315" s="91">
        <v>6840</v>
      </c>
      <c r="I315" s="92" t="s">
        <v>1679</v>
      </c>
      <c r="J315" s="91">
        <v>5500</v>
      </c>
    </row>
    <row r="316" spans="1:10" s="94" customFormat="1" ht="60" customHeight="1" x14ac:dyDescent="0.25">
      <c r="A316" s="103"/>
      <c r="B316" s="154" t="s">
        <v>1816</v>
      </c>
      <c r="C316" s="155"/>
      <c r="D316" s="155"/>
      <c r="E316" s="155"/>
      <c r="F316" s="155"/>
      <c r="G316" s="156"/>
      <c r="H316" s="91">
        <v>9450</v>
      </c>
      <c r="I316" s="92" t="s">
        <v>1679</v>
      </c>
      <c r="J316" s="91">
        <v>7500</v>
      </c>
    </row>
    <row r="317" spans="1:10" s="94" customFormat="1" ht="60" customHeight="1" x14ac:dyDescent="0.25">
      <c r="A317" s="102"/>
      <c r="B317" s="154" t="s">
        <v>1817</v>
      </c>
      <c r="C317" s="155"/>
      <c r="D317" s="155"/>
      <c r="E317" s="155"/>
      <c r="F317" s="155"/>
      <c r="G317" s="156"/>
      <c r="H317" s="91">
        <v>12550</v>
      </c>
      <c r="I317" s="92" t="s">
        <v>1679</v>
      </c>
      <c r="J317" s="91">
        <v>10000</v>
      </c>
    </row>
    <row r="318" spans="1:10" s="94" customFormat="1" ht="60" customHeight="1" x14ac:dyDescent="0.25">
      <c r="A318" s="102"/>
      <c r="B318" s="154" t="s">
        <v>1079</v>
      </c>
      <c r="C318" s="155"/>
      <c r="D318" s="155"/>
      <c r="E318" s="155"/>
      <c r="F318" s="155"/>
      <c r="G318" s="156"/>
      <c r="H318" s="91">
        <v>7960</v>
      </c>
      <c r="I318" s="92" t="s">
        <v>1679</v>
      </c>
      <c r="J318" s="91">
        <v>6300</v>
      </c>
    </row>
    <row r="319" spans="1:10" s="94" customFormat="1" ht="60" customHeight="1" x14ac:dyDescent="0.25">
      <c r="A319" s="103"/>
      <c r="B319" s="154" t="s">
        <v>1080</v>
      </c>
      <c r="C319" s="155"/>
      <c r="D319" s="155"/>
      <c r="E319" s="155"/>
      <c r="F319" s="155"/>
      <c r="G319" s="156"/>
      <c r="H319" s="91">
        <v>11990</v>
      </c>
      <c r="I319" s="92" t="s">
        <v>1679</v>
      </c>
      <c r="J319" s="91">
        <v>9600</v>
      </c>
    </row>
    <row r="320" spans="1:10" s="94" customFormat="1" ht="60" customHeight="1" x14ac:dyDescent="0.25">
      <c r="A320" s="102"/>
      <c r="B320" s="154" t="s">
        <v>1315</v>
      </c>
      <c r="C320" s="155"/>
      <c r="D320" s="155"/>
      <c r="E320" s="155"/>
      <c r="F320" s="155"/>
      <c r="G320" s="156"/>
      <c r="H320" s="91">
        <v>16030</v>
      </c>
      <c r="I320" s="92" t="s">
        <v>1679</v>
      </c>
      <c r="J320" s="91">
        <v>12800</v>
      </c>
    </row>
    <row r="321" spans="1:10" s="94" customFormat="1" ht="60" customHeight="1" x14ac:dyDescent="0.25">
      <c r="A321" s="103"/>
      <c r="B321" s="154" t="s">
        <v>1081</v>
      </c>
      <c r="C321" s="155"/>
      <c r="D321" s="155"/>
      <c r="E321" s="155"/>
      <c r="F321" s="155"/>
      <c r="G321" s="156"/>
      <c r="H321" s="91">
        <v>17270</v>
      </c>
      <c r="I321" s="92" t="s">
        <v>1679</v>
      </c>
      <c r="J321" s="91">
        <v>13800</v>
      </c>
    </row>
    <row r="322" spans="1:10" s="94" customFormat="1" ht="60" customHeight="1" x14ac:dyDescent="0.25">
      <c r="A322" s="97"/>
      <c r="B322" s="154" t="s">
        <v>1786</v>
      </c>
      <c r="C322" s="155"/>
      <c r="D322" s="155"/>
      <c r="E322" s="155"/>
      <c r="F322" s="155"/>
      <c r="G322" s="156"/>
      <c r="H322" s="91">
        <v>24090</v>
      </c>
      <c r="I322" s="92" t="s">
        <v>1679</v>
      </c>
      <c r="J322" s="91">
        <v>19300</v>
      </c>
    </row>
    <row r="323" spans="1:10" s="94" customFormat="1" ht="60" customHeight="1" x14ac:dyDescent="0.25">
      <c r="A323" s="97"/>
      <c r="B323" s="154" t="s">
        <v>1787</v>
      </c>
      <c r="C323" s="155"/>
      <c r="D323" s="155"/>
      <c r="E323" s="155"/>
      <c r="F323" s="155"/>
      <c r="G323" s="156"/>
      <c r="H323" s="91">
        <v>25190</v>
      </c>
      <c r="I323" s="92" t="s">
        <v>1679</v>
      </c>
      <c r="J323" s="91">
        <v>20100</v>
      </c>
    </row>
    <row r="324" spans="1:10" s="94" customFormat="1" ht="20.100000000000001" customHeight="1" x14ac:dyDescent="0.25">
      <c r="A324" s="154" t="s">
        <v>1776</v>
      </c>
      <c r="B324" s="155"/>
      <c r="C324" s="155"/>
      <c r="D324" s="155"/>
      <c r="E324" s="155"/>
      <c r="F324" s="155"/>
      <c r="G324" s="155"/>
      <c r="H324" s="155"/>
      <c r="I324" s="155"/>
      <c r="J324" s="156"/>
    </row>
    <row r="325" spans="1:10" s="94" customFormat="1" ht="60" customHeight="1" x14ac:dyDescent="0.25">
      <c r="A325" s="103"/>
      <c r="B325" s="154" t="s">
        <v>910</v>
      </c>
      <c r="C325" s="155"/>
      <c r="D325" s="155"/>
      <c r="E325" s="155"/>
      <c r="F325" s="155"/>
      <c r="G325" s="156"/>
      <c r="H325" s="91">
        <v>2760</v>
      </c>
      <c r="I325" s="92">
        <v>0</v>
      </c>
      <c r="J325" s="91">
        <f>CEILING(H325*1,10)</f>
        <v>2760</v>
      </c>
    </row>
    <row r="326" spans="1:10" s="94" customFormat="1" ht="60" customHeight="1" x14ac:dyDescent="0.25">
      <c r="A326" s="102"/>
      <c r="B326" s="167" t="s">
        <v>1788</v>
      </c>
      <c r="C326" s="168"/>
      <c r="D326" s="168"/>
      <c r="E326" s="168"/>
      <c r="F326" s="168"/>
      <c r="G326" s="169"/>
      <c r="H326" s="91">
        <v>12760</v>
      </c>
      <c r="I326" s="92">
        <v>0</v>
      </c>
      <c r="J326" s="91">
        <f>CEILING(H326*1,10)</f>
        <v>12760</v>
      </c>
    </row>
    <row r="327" spans="1:10" ht="20.100000000000001" customHeight="1" x14ac:dyDescent="0.25">
      <c r="A327" s="131"/>
      <c r="B327" s="131"/>
      <c r="C327" s="131"/>
      <c r="D327" s="131"/>
      <c r="E327" s="131"/>
      <c r="F327" s="131"/>
      <c r="G327" s="131"/>
      <c r="H327" s="131"/>
      <c r="I327" s="131"/>
      <c r="J327" s="131"/>
    </row>
    <row r="328" spans="1:10" ht="30" customHeight="1" x14ac:dyDescent="0.25">
      <c r="A328" s="118" t="s">
        <v>923</v>
      </c>
      <c r="B328" s="118"/>
      <c r="C328" s="118"/>
      <c r="D328" s="118"/>
      <c r="E328" s="118"/>
      <c r="F328" s="118"/>
      <c r="G328" s="118"/>
      <c r="H328" s="118"/>
      <c r="I328" s="118"/>
      <c r="J328" s="118"/>
    </row>
    <row r="329" spans="1:10" ht="30" customHeight="1" x14ac:dyDescent="0.25">
      <c r="A329" s="5"/>
      <c r="B329" s="3" t="s">
        <v>2</v>
      </c>
      <c r="C329" s="4" t="s">
        <v>48</v>
      </c>
      <c r="D329" s="4" t="s">
        <v>49</v>
      </c>
      <c r="E329" s="3" t="s">
        <v>9</v>
      </c>
      <c r="F329" s="3" t="s">
        <v>10</v>
      </c>
      <c r="G329" s="4" t="s">
        <v>11</v>
      </c>
      <c r="H329" s="4" t="s">
        <v>17</v>
      </c>
      <c r="I329" s="4" t="s">
        <v>12</v>
      </c>
      <c r="J329" s="4" t="s">
        <v>18</v>
      </c>
    </row>
    <row r="330" spans="1:10" s="94" customFormat="1" ht="60" customHeight="1" x14ac:dyDescent="0.25">
      <c r="A330" s="119"/>
      <c r="B330" s="32" t="s">
        <v>924</v>
      </c>
      <c r="C330" s="93" t="s">
        <v>899</v>
      </c>
      <c r="D330" s="93" t="s">
        <v>241</v>
      </c>
      <c r="E330" s="93" t="s">
        <v>273</v>
      </c>
      <c r="F330" s="93" t="s">
        <v>13</v>
      </c>
      <c r="G330" s="15" t="s">
        <v>926</v>
      </c>
      <c r="H330" s="98">
        <v>32830</v>
      </c>
      <c r="I330" s="92" t="s">
        <v>1679</v>
      </c>
      <c r="J330" s="91">
        <v>26200</v>
      </c>
    </row>
    <row r="331" spans="1:10" s="94" customFormat="1" ht="60" customHeight="1" x14ac:dyDescent="0.25">
      <c r="A331" s="119"/>
      <c r="B331" s="32" t="s">
        <v>925</v>
      </c>
      <c r="C331" s="93" t="s">
        <v>900</v>
      </c>
      <c r="D331" s="93" t="s">
        <v>260</v>
      </c>
      <c r="E331" s="93" t="s">
        <v>273</v>
      </c>
      <c r="F331" s="93" t="s">
        <v>13</v>
      </c>
      <c r="G331" s="15" t="s">
        <v>926</v>
      </c>
      <c r="H331" s="98">
        <v>32830</v>
      </c>
      <c r="I331" s="92" t="s">
        <v>1679</v>
      </c>
      <c r="J331" s="91">
        <v>26200</v>
      </c>
    </row>
    <row r="332" spans="1:10" s="94" customFormat="1" ht="20.100000000000001" customHeight="1" x14ac:dyDescent="0.25">
      <c r="A332" s="154" t="s">
        <v>909</v>
      </c>
      <c r="B332" s="155"/>
      <c r="C332" s="155"/>
      <c r="D332" s="155"/>
      <c r="E332" s="155"/>
      <c r="F332" s="155"/>
      <c r="G332" s="155"/>
      <c r="H332" s="155"/>
      <c r="I332" s="155"/>
      <c r="J332" s="156"/>
    </row>
    <row r="333" spans="1:10" s="94" customFormat="1" ht="60" customHeight="1" x14ac:dyDescent="0.25">
      <c r="A333" s="102"/>
      <c r="B333" s="154" t="s">
        <v>1815</v>
      </c>
      <c r="C333" s="155"/>
      <c r="D333" s="155"/>
      <c r="E333" s="155"/>
      <c r="F333" s="155"/>
      <c r="G333" s="156"/>
      <c r="H333" s="91">
        <v>4400</v>
      </c>
      <c r="I333" s="92" t="s">
        <v>1679</v>
      </c>
      <c r="J333" s="91">
        <v>3500</v>
      </c>
    </row>
    <row r="334" spans="1:10" s="94" customFormat="1" ht="60" customHeight="1" x14ac:dyDescent="0.25">
      <c r="A334" s="102"/>
      <c r="B334" s="154" t="s">
        <v>1814</v>
      </c>
      <c r="C334" s="155"/>
      <c r="D334" s="155"/>
      <c r="E334" s="155"/>
      <c r="F334" s="155"/>
      <c r="G334" s="156"/>
      <c r="H334" s="91">
        <v>6840</v>
      </c>
      <c r="I334" s="92" t="s">
        <v>1679</v>
      </c>
      <c r="J334" s="91">
        <v>5500</v>
      </c>
    </row>
    <row r="335" spans="1:10" s="94" customFormat="1" ht="60" customHeight="1" x14ac:dyDescent="0.25">
      <c r="A335" s="103"/>
      <c r="B335" s="154" t="s">
        <v>1816</v>
      </c>
      <c r="C335" s="155"/>
      <c r="D335" s="155"/>
      <c r="E335" s="155"/>
      <c r="F335" s="155"/>
      <c r="G335" s="156"/>
      <c r="H335" s="91">
        <v>9450</v>
      </c>
      <c r="I335" s="92" t="s">
        <v>1679</v>
      </c>
      <c r="J335" s="91">
        <v>7500</v>
      </c>
    </row>
    <row r="336" spans="1:10" s="94" customFormat="1" ht="60" customHeight="1" x14ac:dyDescent="0.25">
      <c r="A336" s="102"/>
      <c r="B336" s="154" t="s">
        <v>1817</v>
      </c>
      <c r="C336" s="155"/>
      <c r="D336" s="155"/>
      <c r="E336" s="155"/>
      <c r="F336" s="155"/>
      <c r="G336" s="156"/>
      <c r="H336" s="91">
        <v>12550</v>
      </c>
      <c r="I336" s="92" t="s">
        <v>1679</v>
      </c>
      <c r="J336" s="91">
        <v>10000</v>
      </c>
    </row>
    <row r="337" spans="1:10" s="94" customFormat="1" ht="60" customHeight="1" x14ac:dyDescent="0.25">
      <c r="A337" s="102"/>
      <c r="B337" s="154" t="s">
        <v>1079</v>
      </c>
      <c r="C337" s="155"/>
      <c r="D337" s="155"/>
      <c r="E337" s="155"/>
      <c r="F337" s="155"/>
      <c r="G337" s="156"/>
      <c r="H337" s="91">
        <v>7960</v>
      </c>
      <c r="I337" s="92" t="s">
        <v>1679</v>
      </c>
      <c r="J337" s="91">
        <v>6300</v>
      </c>
    </row>
    <row r="338" spans="1:10" s="94" customFormat="1" ht="60" customHeight="1" x14ac:dyDescent="0.25">
      <c r="A338" s="103"/>
      <c r="B338" s="154" t="s">
        <v>1080</v>
      </c>
      <c r="C338" s="155"/>
      <c r="D338" s="155"/>
      <c r="E338" s="155"/>
      <c r="F338" s="155"/>
      <c r="G338" s="156"/>
      <c r="H338" s="91">
        <v>11990</v>
      </c>
      <c r="I338" s="92" t="s">
        <v>1679</v>
      </c>
      <c r="J338" s="91">
        <v>9600</v>
      </c>
    </row>
    <row r="339" spans="1:10" s="94" customFormat="1" ht="60" customHeight="1" x14ac:dyDescent="0.25">
      <c r="A339" s="102"/>
      <c r="B339" s="154" t="s">
        <v>1315</v>
      </c>
      <c r="C339" s="155"/>
      <c r="D339" s="155"/>
      <c r="E339" s="155"/>
      <c r="F339" s="155"/>
      <c r="G339" s="156"/>
      <c r="H339" s="91">
        <v>16030</v>
      </c>
      <c r="I339" s="92" t="s">
        <v>1679</v>
      </c>
      <c r="J339" s="91">
        <v>12800</v>
      </c>
    </row>
    <row r="340" spans="1:10" s="94" customFormat="1" ht="60" customHeight="1" x14ac:dyDescent="0.25">
      <c r="A340" s="103"/>
      <c r="B340" s="154" t="s">
        <v>1081</v>
      </c>
      <c r="C340" s="155"/>
      <c r="D340" s="155"/>
      <c r="E340" s="155"/>
      <c r="F340" s="155"/>
      <c r="G340" s="156"/>
      <c r="H340" s="91">
        <v>17270</v>
      </c>
      <c r="I340" s="92" t="s">
        <v>1679</v>
      </c>
      <c r="J340" s="91">
        <v>13800</v>
      </c>
    </row>
    <row r="341" spans="1:10" s="94" customFormat="1" ht="60" customHeight="1" x14ac:dyDescent="0.25">
      <c r="A341" s="97"/>
      <c r="B341" s="154" t="s">
        <v>1786</v>
      </c>
      <c r="C341" s="155"/>
      <c r="D341" s="155"/>
      <c r="E341" s="155"/>
      <c r="F341" s="155"/>
      <c r="G341" s="156"/>
      <c r="H341" s="91">
        <v>24090</v>
      </c>
      <c r="I341" s="92" t="s">
        <v>1679</v>
      </c>
      <c r="J341" s="91">
        <v>19300</v>
      </c>
    </row>
    <row r="342" spans="1:10" s="94" customFormat="1" ht="60" customHeight="1" x14ac:dyDescent="0.25">
      <c r="A342" s="97"/>
      <c r="B342" s="154" t="s">
        <v>1787</v>
      </c>
      <c r="C342" s="155"/>
      <c r="D342" s="155"/>
      <c r="E342" s="155"/>
      <c r="F342" s="155"/>
      <c r="G342" s="156"/>
      <c r="H342" s="91">
        <v>25190</v>
      </c>
      <c r="I342" s="92" t="s">
        <v>1679</v>
      </c>
      <c r="J342" s="91">
        <v>20100</v>
      </c>
    </row>
    <row r="343" spans="1:10" s="94" customFormat="1" ht="20.100000000000001" customHeight="1" x14ac:dyDescent="0.25">
      <c r="A343" s="154" t="s">
        <v>1776</v>
      </c>
      <c r="B343" s="155"/>
      <c r="C343" s="155"/>
      <c r="D343" s="155"/>
      <c r="E343" s="155"/>
      <c r="F343" s="155"/>
      <c r="G343" s="155"/>
      <c r="H343" s="155"/>
      <c r="I343" s="155"/>
      <c r="J343" s="156"/>
    </row>
    <row r="344" spans="1:10" s="94" customFormat="1" ht="60" customHeight="1" x14ac:dyDescent="0.25">
      <c r="A344" s="103"/>
      <c r="B344" s="154" t="s">
        <v>910</v>
      </c>
      <c r="C344" s="155"/>
      <c r="D344" s="155"/>
      <c r="E344" s="155"/>
      <c r="F344" s="155"/>
      <c r="G344" s="156"/>
      <c r="H344" s="91">
        <v>2760</v>
      </c>
      <c r="I344" s="92">
        <v>0</v>
      </c>
      <c r="J344" s="91">
        <f>CEILING(H344*1,10)</f>
        <v>2760</v>
      </c>
    </row>
    <row r="345" spans="1:10" s="94" customFormat="1" ht="60" customHeight="1" x14ac:dyDescent="0.25">
      <c r="A345" s="102"/>
      <c r="B345" s="167" t="s">
        <v>1788</v>
      </c>
      <c r="C345" s="168"/>
      <c r="D345" s="168"/>
      <c r="E345" s="168"/>
      <c r="F345" s="168"/>
      <c r="G345" s="169"/>
      <c r="H345" s="91">
        <v>12760</v>
      </c>
      <c r="I345" s="92">
        <v>0</v>
      </c>
      <c r="J345" s="91">
        <f>CEILING(H345*1,10)</f>
        <v>12760</v>
      </c>
    </row>
    <row r="346" spans="1:10" ht="20.100000000000001" customHeight="1" x14ac:dyDescent="0.25">
      <c r="A346" s="131"/>
      <c r="B346" s="131"/>
      <c r="C346" s="131"/>
      <c r="D346" s="131"/>
      <c r="E346" s="131"/>
      <c r="F346" s="131"/>
      <c r="G346" s="131"/>
      <c r="H346" s="131"/>
      <c r="I346" s="131"/>
      <c r="J346" s="131"/>
    </row>
    <row r="347" spans="1:10" ht="30" customHeight="1" x14ac:dyDescent="0.25">
      <c r="A347" s="118" t="s">
        <v>927</v>
      </c>
      <c r="B347" s="118"/>
      <c r="C347" s="118"/>
      <c r="D347" s="118"/>
      <c r="E347" s="118"/>
      <c r="F347" s="118"/>
      <c r="G347" s="118"/>
      <c r="H347" s="118"/>
      <c r="I347" s="118"/>
      <c r="J347" s="118"/>
    </row>
    <row r="348" spans="1:10" ht="30" customHeight="1" x14ac:dyDescent="0.25">
      <c r="A348" s="5"/>
      <c r="B348" s="3" t="s">
        <v>2</v>
      </c>
      <c r="C348" s="4" t="s">
        <v>48</v>
      </c>
      <c r="D348" s="4" t="s">
        <v>49</v>
      </c>
      <c r="E348" s="3" t="s">
        <v>9</v>
      </c>
      <c r="F348" s="3" t="s">
        <v>10</v>
      </c>
      <c r="G348" s="4" t="s">
        <v>11</v>
      </c>
      <c r="H348" s="4" t="s">
        <v>17</v>
      </c>
      <c r="I348" s="4" t="s">
        <v>12</v>
      </c>
      <c r="J348" s="4" t="s">
        <v>18</v>
      </c>
    </row>
    <row r="349" spans="1:10" s="94" customFormat="1" ht="60" customHeight="1" x14ac:dyDescent="0.25">
      <c r="A349" s="119"/>
      <c r="B349" s="32" t="s">
        <v>928</v>
      </c>
      <c r="C349" s="93" t="s">
        <v>899</v>
      </c>
      <c r="D349" s="93" t="s">
        <v>241</v>
      </c>
      <c r="E349" s="93" t="s">
        <v>273</v>
      </c>
      <c r="F349" s="93" t="s">
        <v>13</v>
      </c>
      <c r="G349" s="15" t="s">
        <v>930</v>
      </c>
      <c r="H349" s="98">
        <v>34280</v>
      </c>
      <c r="I349" s="92" t="s">
        <v>1679</v>
      </c>
      <c r="J349" s="91">
        <v>27400</v>
      </c>
    </row>
    <row r="350" spans="1:10" s="94" customFormat="1" ht="60" customHeight="1" x14ac:dyDescent="0.25">
      <c r="A350" s="119"/>
      <c r="B350" s="32" t="s">
        <v>929</v>
      </c>
      <c r="C350" s="93" t="s">
        <v>900</v>
      </c>
      <c r="D350" s="93" t="s">
        <v>260</v>
      </c>
      <c r="E350" s="93" t="s">
        <v>273</v>
      </c>
      <c r="F350" s="93" t="s">
        <v>13</v>
      </c>
      <c r="G350" s="15" t="s">
        <v>930</v>
      </c>
      <c r="H350" s="98">
        <v>34280</v>
      </c>
      <c r="I350" s="92" t="s">
        <v>1679</v>
      </c>
      <c r="J350" s="91">
        <v>27400</v>
      </c>
    </row>
    <row r="351" spans="1:10" s="94" customFormat="1" ht="20.100000000000001" customHeight="1" x14ac:dyDescent="0.25">
      <c r="A351" s="154" t="s">
        <v>909</v>
      </c>
      <c r="B351" s="155"/>
      <c r="C351" s="155"/>
      <c r="D351" s="155"/>
      <c r="E351" s="155"/>
      <c r="F351" s="155"/>
      <c r="G351" s="155"/>
      <c r="H351" s="155"/>
      <c r="I351" s="155"/>
      <c r="J351" s="156"/>
    </row>
    <row r="352" spans="1:10" s="94" customFormat="1" ht="60" customHeight="1" x14ac:dyDescent="0.25">
      <c r="A352" s="102"/>
      <c r="B352" s="154" t="s">
        <v>1815</v>
      </c>
      <c r="C352" s="155"/>
      <c r="D352" s="155"/>
      <c r="E352" s="155"/>
      <c r="F352" s="155"/>
      <c r="G352" s="156"/>
      <c r="H352" s="91">
        <v>4400</v>
      </c>
      <c r="I352" s="92" t="s">
        <v>1679</v>
      </c>
      <c r="J352" s="91">
        <v>3500</v>
      </c>
    </row>
    <row r="353" spans="1:10" s="94" customFormat="1" ht="60" customHeight="1" x14ac:dyDescent="0.25">
      <c r="A353" s="102"/>
      <c r="B353" s="154" t="s">
        <v>1814</v>
      </c>
      <c r="C353" s="155"/>
      <c r="D353" s="155"/>
      <c r="E353" s="155"/>
      <c r="F353" s="155"/>
      <c r="G353" s="156"/>
      <c r="H353" s="91">
        <v>6840</v>
      </c>
      <c r="I353" s="92" t="s">
        <v>1679</v>
      </c>
      <c r="J353" s="91">
        <v>5500</v>
      </c>
    </row>
    <row r="354" spans="1:10" s="94" customFormat="1" ht="60" customHeight="1" x14ac:dyDescent="0.25">
      <c r="A354" s="103"/>
      <c r="B354" s="154" t="s">
        <v>1816</v>
      </c>
      <c r="C354" s="155"/>
      <c r="D354" s="155"/>
      <c r="E354" s="155"/>
      <c r="F354" s="155"/>
      <c r="G354" s="156"/>
      <c r="H354" s="91">
        <v>9450</v>
      </c>
      <c r="I354" s="92" t="s">
        <v>1679</v>
      </c>
      <c r="J354" s="91">
        <v>7500</v>
      </c>
    </row>
    <row r="355" spans="1:10" s="94" customFormat="1" ht="60" customHeight="1" x14ac:dyDescent="0.25">
      <c r="A355" s="102"/>
      <c r="B355" s="154" t="s">
        <v>1817</v>
      </c>
      <c r="C355" s="155"/>
      <c r="D355" s="155"/>
      <c r="E355" s="155"/>
      <c r="F355" s="155"/>
      <c r="G355" s="156"/>
      <c r="H355" s="91">
        <v>12550</v>
      </c>
      <c r="I355" s="92" t="s">
        <v>1679</v>
      </c>
      <c r="J355" s="91">
        <v>10000</v>
      </c>
    </row>
    <row r="356" spans="1:10" s="94" customFormat="1" ht="60" customHeight="1" x14ac:dyDescent="0.25">
      <c r="A356" s="102"/>
      <c r="B356" s="154" t="s">
        <v>1079</v>
      </c>
      <c r="C356" s="155"/>
      <c r="D356" s="155"/>
      <c r="E356" s="155"/>
      <c r="F356" s="155"/>
      <c r="G356" s="156"/>
      <c r="H356" s="91">
        <v>7960</v>
      </c>
      <c r="I356" s="92" t="s">
        <v>1679</v>
      </c>
      <c r="J356" s="91">
        <v>6300</v>
      </c>
    </row>
    <row r="357" spans="1:10" s="94" customFormat="1" ht="60" customHeight="1" x14ac:dyDescent="0.25">
      <c r="A357" s="103"/>
      <c r="B357" s="154" t="s">
        <v>1080</v>
      </c>
      <c r="C357" s="155"/>
      <c r="D357" s="155"/>
      <c r="E357" s="155"/>
      <c r="F357" s="155"/>
      <c r="G357" s="156"/>
      <c r="H357" s="91">
        <v>11990</v>
      </c>
      <c r="I357" s="92" t="s">
        <v>1679</v>
      </c>
      <c r="J357" s="91">
        <v>9600</v>
      </c>
    </row>
    <row r="358" spans="1:10" s="94" customFormat="1" ht="60" customHeight="1" x14ac:dyDescent="0.25">
      <c r="A358" s="102"/>
      <c r="B358" s="154" t="s">
        <v>1315</v>
      </c>
      <c r="C358" s="155"/>
      <c r="D358" s="155"/>
      <c r="E358" s="155"/>
      <c r="F358" s="155"/>
      <c r="G358" s="156"/>
      <c r="H358" s="91">
        <v>16030</v>
      </c>
      <c r="I358" s="92" t="s">
        <v>1679</v>
      </c>
      <c r="J358" s="91">
        <v>12800</v>
      </c>
    </row>
    <row r="359" spans="1:10" s="94" customFormat="1" ht="60" customHeight="1" x14ac:dyDescent="0.25">
      <c r="A359" s="103"/>
      <c r="B359" s="154" t="s">
        <v>1081</v>
      </c>
      <c r="C359" s="155"/>
      <c r="D359" s="155"/>
      <c r="E359" s="155"/>
      <c r="F359" s="155"/>
      <c r="G359" s="156"/>
      <c r="H359" s="91">
        <v>17270</v>
      </c>
      <c r="I359" s="92" t="s">
        <v>1679</v>
      </c>
      <c r="J359" s="91">
        <v>13800</v>
      </c>
    </row>
    <row r="360" spans="1:10" s="94" customFormat="1" ht="60" customHeight="1" x14ac:dyDescent="0.25">
      <c r="A360" s="97"/>
      <c r="B360" s="154" t="s">
        <v>1786</v>
      </c>
      <c r="C360" s="155"/>
      <c r="D360" s="155"/>
      <c r="E360" s="155"/>
      <c r="F360" s="155"/>
      <c r="G360" s="156"/>
      <c r="H360" s="91">
        <v>24090</v>
      </c>
      <c r="I360" s="92" t="s">
        <v>1679</v>
      </c>
      <c r="J360" s="91">
        <v>19300</v>
      </c>
    </row>
    <row r="361" spans="1:10" s="94" customFormat="1" ht="60" customHeight="1" x14ac:dyDescent="0.25">
      <c r="A361" s="97"/>
      <c r="B361" s="154" t="s">
        <v>1787</v>
      </c>
      <c r="C361" s="155"/>
      <c r="D361" s="155"/>
      <c r="E361" s="155"/>
      <c r="F361" s="155"/>
      <c r="G361" s="156"/>
      <c r="H361" s="91">
        <v>25190</v>
      </c>
      <c r="I361" s="92" t="s">
        <v>1679</v>
      </c>
      <c r="J361" s="91">
        <v>20100</v>
      </c>
    </row>
    <row r="362" spans="1:10" s="94" customFormat="1" ht="20.100000000000001" customHeight="1" x14ac:dyDescent="0.25">
      <c r="A362" s="154" t="s">
        <v>1776</v>
      </c>
      <c r="B362" s="155"/>
      <c r="C362" s="155"/>
      <c r="D362" s="155"/>
      <c r="E362" s="155"/>
      <c r="F362" s="155"/>
      <c r="G362" s="155"/>
      <c r="H362" s="155"/>
      <c r="I362" s="155"/>
      <c r="J362" s="156"/>
    </row>
    <row r="363" spans="1:10" s="94" customFormat="1" ht="60" customHeight="1" x14ac:dyDescent="0.25">
      <c r="A363" s="103"/>
      <c r="B363" s="154" t="s">
        <v>910</v>
      </c>
      <c r="C363" s="155"/>
      <c r="D363" s="155"/>
      <c r="E363" s="155"/>
      <c r="F363" s="155"/>
      <c r="G363" s="156"/>
      <c r="H363" s="91">
        <v>2760</v>
      </c>
      <c r="I363" s="92">
        <v>0</v>
      </c>
      <c r="J363" s="91">
        <f>CEILING(H363*1,10)</f>
        <v>2760</v>
      </c>
    </row>
    <row r="364" spans="1:10" s="94" customFormat="1" ht="60" customHeight="1" x14ac:dyDescent="0.25">
      <c r="A364" s="102"/>
      <c r="B364" s="167" t="s">
        <v>1788</v>
      </c>
      <c r="C364" s="168"/>
      <c r="D364" s="168"/>
      <c r="E364" s="168"/>
      <c r="F364" s="168"/>
      <c r="G364" s="169"/>
      <c r="H364" s="91">
        <v>12760</v>
      </c>
      <c r="I364" s="92">
        <v>0</v>
      </c>
      <c r="J364" s="91">
        <f>CEILING(H364*1,10)</f>
        <v>12760</v>
      </c>
    </row>
    <row r="365" spans="1:10" s="94" customFormat="1" x14ac:dyDescent="0.25"/>
    <row r="366" spans="1:10" s="94" customFormat="1" x14ac:dyDescent="0.25"/>
    <row r="367" spans="1:10" s="94" customFormat="1" x14ac:dyDescent="0.25"/>
    <row r="368" spans="1:10" s="94" customFormat="1" x14ac:dyDescent="0.25"/>
    <row r="369" s="94" customFormat="1" x14ac:dyDescent="0.25"/>
  </sheetData>
  <mergeCells count="180">
    <mergeCell ref="B358:G358"/>
    <mergeCell ref="B359:G359"/>
    <mergeCell ref="B360:G360"/>
    <mergeCell ref="B361:G361"/>
    <mergeCell ref="A362:J362"/>
    <mergeCell ref="B363:G363"/>
    <mergeCell ref="B364:G364"/>
    <mergeCell ref="A343:J343"/>
    <mergeCell ref="B344:G344"/>
    <mergeCell ref="B345:G345"/>
    <mergeCell ref="B352:G352"/>
    <mergeCell ref="B353:G353"/>
    <mergeCell ref="B354:G354"/>
    <mergeCell ref="B355:G355"/>
    <mergeCell ref="B356:G356"/>
    <mergeCell ref="B357:G357"/>
    <mergeCell ref="A347:J347"/>
    <mergeCell ref="A349:A350"/>
    <mergeCell ref="A346:J346"/>
    <mergeCell ref="A351:J351"/>
    <mergeCell ref="B334:G334"/>
    <mergeCell ref="B335:G335"/>
    <mergeCell ref="B336:G336"/>
    <mergeCell ref="B337:G337"/>
    <mergeCell ref="B338:G338"/>
    <mergeCell ref="B339:G339"/>
    <mergeCell ref="B340:G340"/>
    <mergeCell ref="B341:G341"/>
    <mergeCell ref="B342:G342"/>
    <mergeCell ref="B322:G322"/>
    <mergeCell ref="B323:G323"/>
    <mergeCell ref="A324:J324"/>
    <mergeCell ref="B325:G325"/>
    <mergeCell ref="B326:G326"/>
    <mergeCell ref="B333:G333"/>
    <mergeCell ref="A330:A331"/>
    <mergeCell ref="A332:J332"/>
    <mergeCell ref="A327:J327"/>
    <mergeCell ref="A328:J328"/>
    <mergeCell ref="A303:J303"/>
    <mergeCell ref="A305:A312"/>
    <mergeCell ref="B319:G319"/>
    <mergeCell ref="B320:G320"/>
    <mergeCell ref="B321:G321"/>
    <mergeCell ref="B317:G317"/>
    <mergeCell ref="B318:G318"/>
    <mergeCell ref="B297:G297"/>
    <mergeCell ref="B298:G298"/>
    <mergeCell ref="B300:G300"/>
    <mergeCell ref="B301:G301"/>
    <mergeCell ref="A313:J313"/>
    <mergeCell ref="B314:G314"/>
    <mergeCell ref="B315:G315"/>
    <mergeCell ref="B316:G316"/>
    <mergeCell ref="A299:J299"/>
    <mergeCell ref="A302:J302"/>
    <mergeCell ref="A111:J111"/>
    <mergeCell ref="A283:J283"/>
    <mergeCell ref="A274:J274"/>
    <mergeCell ref="A252:A262"/>
    <mergeCell ref="B268:G268"/>
    <mergeCell ref="B269:G269"/>
    <mergeCell ref="B270:G270"/>
    <mergeCell ref="A216:J216"/>
    <mergeCell ref="A218:A225"/>
    <mergeCell ref="A226:J226"/>
    <mergeCell ref="A236:J236"/>
    <mergeCell ref="A237:J237"/>
    <mergeCell ref="A239:A248"/>
    <mergeCell ref="A249:J249"/>
    <mergeCell ref="B264:G264"/>
    <mergeCell ref="B266:G266"/>
    <mergeCell ref="B267:G267"/>
    <mergeCell ref="B275:G275"/>
    <mergeCell ref="B276:G276"/>
    <mergeCell ref="B277:G277"/>
    <mergeCell ref="A250:J250"/>
    <mergeCell ref="A263:J263"/>
    <mergeCell ref="A227:J227"/>
    <mergeCell ref="A230:J230"/>
    <mergeCell ref="A93:A98"/>
    <mergeCell ref="B295:G295"/>
    <mergeCell ref="B296:G296"/>
    <mergeCell ref="A90:J90"/>
    <mergeCell ref="A91:J91"/>
    <mergeCell ref="A99:J99"/>
    <mergeCell ref="A149:J149"/>
    <mergeCell ref="A151:A156"/>
    <mergeCell ref="A161:J161"/>
    <mergeCell ref="A162:J162"/>
    <mergeCell ref="A164:A169"/>
    <mergeCell ref="A157:J157"/>
    <mergeCell ref="A158:G158"/>
    <mergeCell ref="A159:G159"/>
    <mergeCell ref="A160:G160"/>
    <mergeCell ref="A100:J100"/>
    <mergeCell ref="A102:A104"/>
    <mergeCell ref="A105:J105"/>
    <mergeCell ref="A106:J106"/>
    <mergeCell ref="A124:J124"/>
    <mergeCell ref="A118:J118"/>
    <mergeCell ref="A120:A122"/>
    <mergeCell ref="A123:J123"/>
    <mergeCell ref="A108:A110"/>
    <mergeCell ref="A112:J112"/>
    <mergeCell ref="A114:A116"/>
    <mergeCell ref="A117:J117"/>
    <mergeCell ref="A126:A128"/>
    <mergeCell ref="A136:J136"/>
    <mergeCell ref="A138:A140"/>
    <mergeCell ref="A1:J1"/>
    <mergeCell ref="A47:J47"/>
    <mergeCell ref="A48:G48"/>
    <mergeCell ref="A49:J49"/>
    <mergeCell ref="A50:J50"/>
    <mergeCell ref="A52:A55"/>
    <mergeCell ref="A56:J56"/>
    <mergeCell ref="A57:G57"/>
    <mergeCell ref="A58:J58"/>
    <mergeCell ref="A3:A11"/>
    <mergeCell ref="A13:J13"/>
    <mergeCell ref="A15:A46"/>
    <mergeCell ref="A12:J12"/>
    <mergeCell ref="A59:J59"/>
    <mergeCell ref="A61:A64"/>
    <mergeCell ref="A65:J65"/>
    <mergeCell ref="A66:J66"/>
    <mergeCell ref="A68:A71"/>
    <mergeCell ref="A72:J72"/>
    <mergeCell ref="A73:J73"/>
    <mergeCell ref="A75:A77"/>
    <mergeCell ref="A78:J78"/>
    <mergeCell ref="A79:J79"/>
    <mergeCell ref="A81:A83"/>
    <mergeCell ref="A84:J84"/>
    <mergeCell ref="A85:J85"/>
    <mergeCell ref="A87:A89"/>
    <mergeCell ref="A148:J148"/>
    <mergeCell ref="A129:J129"/>
    <mergeCell ref="A170:J170"/>
    <mergeCell ref="A171:G171"/>
    <mergeCell ref="A172:G172"/>
    <mergeCell ref="A173:G173"/>
    <mergeCell ref="A141:J141"/>
    <mergeCell ref="A200:J200"/>
    <mergeCell ref="A174:J174"/>
    <mergeCell ref="A175:J175"/>
    <mergeCell ref="A177:A188"/>
    <mergeCell ref="A189:J189"/>
    <mergeCell ref="A190:J190"/>
    <mergeCell ref="A192:A199"/>
    <mergeCell ref="A142:J142"/>
    <mergeCell ref="A143:J143"/>
    <mergeCell ref="A145:A147"/>
    <mergeCell ref="A130:J130"/>
    <mergeCell ref="A132:A134"/>
    <mergeCell ref="A135:J135"/>
    <mergeCell ref="A201:J201"/>
    <mergeCell ref="A203:A214"/>
    <mergeCell ref="A215:J215"/>
    <mergeCell ref="B294:G294"/>
    <mergeCell ref="A284:J284"/>
    <mergeCell ref="A286:A287"/>
    <mergeCell ref="B278:G278"/>
    <mergeCell ref="B279:G279"/>
    <mergeCell ref="B265:G265"/>
    <mergeCell ref="A288:J288"/>
    <mergeCell ref="B289:G289"/>
    <mergeCell ref="B290:G290"/>
    <mergeCell ref="B291:G291"/>
    <mergeCell ref="B292:G292"/>
    <mergeCell ref="B293:G293"/>
    <mergeCell ref="B271:G271"/>
    <mergeCell ref="B272:G272"/>
    <mergeCell ref="B273:G273"/>
    <mergeCell ref="A231:J231"/>
    <mergeCell ref="A233:A235"/>
    <mergeCell ref="B280:G280"/>
    <mergeCell ref="B281:G281"/>
    <mergeCell ref="B282:G282"/>
  </mergeCells>
  <hyperlinks>
    <hyperlink ref="B7" r:id="rId1"/>
    <hyperlink ref="B8" r:id="rId2"/>
    <hyperlink ref="B9" r:id="rId3"/>
    <hyperlink ref="B10" r:id="rId4"/>
    <hyperlink ref="B11" r:id="rId5"/>
    <hyperlink ref="B3" r:id="rId6"/>
    <hyperlink ref="B4" r:id="rId7"/>
    <hyperlink ref="B5" r:id="rId8"/>
    <hyperlink ref="B6" r:id="rId9"/>
    <hyperlink ref="B15" r:id="rId10"/>
    <hyperlink ref="B16" r:id="rId11"/>
    <hyperlink ref="B17" r:id="rId12"/>
    <hyperlink ref="B18" r:id="rId13"/>
    <hyperlink ref="B19" r:id="rId14"/>
    <hyperlink ref="B20" r:id="rId15"/>
    <hyperlink ref="B21" r:id="rId16"/>
    <hyperlink ref="B22" r:id="rId17"/>
    <hyperlink ref="B23" r:id="rId18"/>
    <hyperlink ref="B52" r:id="rId19"/>
    <hyperlink ref="B53" r:id="rId20"/>
    <hyperlink ref="B54" r:id="rId21"/>
    <hyperlink ref="B55" r:id="rId22"/>
    <hyperlink ref="B64" r:id="rId23"/>
    <hyperlink ref="B63" r:id="rId24"/>
    <hyperlink ref="B62" r:id="rId25"/>
    <hyperlink ref="B61" r:id="rId26"/>
    <hyperlink ref="B68" r:id="rId27"/>
    <hyperlink ref="B69" r:id="rId28"/>
    <hyperlink ref="B70" r:id="rId29"/>
    <hyperlink ref="B71" r:id="rId30"/>
    <hyperlink ref="B75" r:id="rId31"/>
    <hyperlink ref="B76" r:id="rId32"/>
    <hyperlink ref="B77" r:id="rId33"/>
    <hyperlink ref="B81" r:id="rId34"/>
    <hyperlink ref="B82" r:id="rId35"/>
    <hyperlink ref="B83" r:id="rId36"/>
    <hyperlink ref="B87" r:id="rId37"/>
    <hyperlink ref="B88" r:id="rId38"/>
    <hyperlink ref="B89" r:id="rId39"/>
    <hyperlink ref="B93" r:id="rId40"/>
    <hyperlink ref="B94" r:id="rId41"/>
    <hyperlink ref="B95" r:id="rId42"/>
    <hyperlink ref="B155" r:id="rId43"/>
    <hyperlink ref="B156" r:id="rId44"/>
    <hyperlink ref="B154" r:id="rId45"/>
    <hyperlink ref="B152" r:id="rId46"/>
    <hyperlink ref="B151" r:id="rId47"/>
    <hyperlink ref="B153" r:id="rId48"/>
    <hyperlink ref="B164" r:id="rId49"/>
    <hyperlink ref="B165" r:id="rId50"/>
    <hyperlink ref="B166" r:id="rId51"/>
    <hyperlink ref="B167" r:id="rId52"/>
    <hyperlink ref="B168" r:id="rId53"/>
    <hyperlink ref="B169" r:id="rId54"/>
    <hyperlink ref="B177" r:id="rId55"/>
    <hyperlink ref="B180" r:id="rId56"/>
    <hyperlink ref="B179" r:id="rId57"/>
    <hyperlink ref="B178" r:id="rId58"/>
    <hyperlink ref="B182" r:id="rId59"/>
    <hyperlink ref="B181" r:id="rId60"/>
    <hyperlink ref="B183" r:id="rId61"/>
    <hyperlink ref="B185" r:id="rId62"/>
    <hyperlink ref="B184" r:id="rId63"/>
    <hyperlink ref="B186" r:id="rId64"/>
    <hyperlink ref="B188" r:id="rId65"/>
    <hyperlink ref="B187" r:id="rId66"/>
    <hyperlink ref="B192" r:id="rId67"/>
    <hyperlink ref="B193" r:id="rId68"/>
    <hyperlink ref="B194" r:id="rId69"/>
    <hyperlink ref="B195" r:id="rId70"/>
    <hyperlink ref="B196" r:id="rId71"/>
    <hyperlink ref="B197" r:id="rId72"/>
    <hyperlink ref="B198" r:id="rId73"/>
    <hyperlink ref="B199" r:id="rId74"/>
    <hyperlink ref="B229" r:id="rId75"/>
    <hyperlink ref="B233" r:id="rId76"/>
    <hyperlink ref="B234" r:id="rId77"/>
    <hyperlink ref="B235" r:id="rId78"/>
    <hyperlink ref="B239" r:id="rId79"/>
    <hyperlink ref="B240" r:id="rId80"/>
    <hyperlink ref="B241" r:id="rId81"/>
    <hyperlink ref="B242" r:id="rId82"/>
    <hyperlink ref="B243" r:id="rId83"/>
    <hyperlink ref="B244" r:id="rId84"/>
    <hyperlink ref="B245" r:id="rId85"/>
    <hyperlink ref="B246" r:id="rId86"/>
    <hyperlink ref="B247" r:id="rId87"/>
    <hyperlink ref="B248" r:id="rId88"/>
    <hyperlink ref="B330" r:id="rId89"/>
    <hyperlink ref="B331" r:id="rId90"/>
    <hyperlink ref="B349" r:id="rId91"/>
    <hyperlink ref="B350" r:id="rId92"/>
    <hyperlink ref="B286" r:id="rId93"/>
    <hyperlink ref="B287" r:id="rId94"/>
    <hyperlink ref="B102" r:id="rId95"/>
    <hyperlink ref="B103" r:id="rId96"/>
    <hyperlink ref="B104" r:id="rId97"/>
    <hyperlink ref="B108" r:id="rId98"/>
    <hyperlink ref="B109" r:id="rId99"/>
    <hyperlink ref="B110" r:id="rId100"/>
    <hyperlink ref="B114" r:id="rId101"/>
    <hyperlink ref="B115" r:id="rId102"/>
    <hyperlink ref="B116" r:id="rId103"/>
    <hyperlink ref="B120" r:id="rId104" display="МК-6.2-RP10"/>
    <hyperlink ref="B121" r:id="rId105" display="МК-15.2-RP10"/>
    <hyperlink ref="B122" r:id="rId106" display="МК-32.2-RP10"/>
    <hyperlink ref="B126" r:id="rId107"/>
    <hyperlink ref="B127" r:id="rId108"/>
    <hyperlink ref="B128" r:id="rId109"/>
    <hyperlink ref="B132" r:id="rId110"/>
    <hyperlink ref="B133" r:id="rId111"/>
    <hyperlink ref="B134" r:id="rId112"/>
    <hyperlink ref="B24" r:id="rId113"/>
    <hyperlink ref="B25" r:id="rId114"/>
    <hyperlink ref="B26" r:id="rId115"/>
    <hyperlink ref="B203" r:id="rId116"/>
    <hyperlink ref="B206" r:id="rId117"/>
    <hyperlink ref="B209" r:id="rId118"/>
    <hyperlink ref="B212" r:id="rId119"/>
    <hyperlink ref="B204" r:id="rId120"/>
    <hyperlink ref="B207" r:id="rId121"/>
    <hyperlink ref="B210" r:id="rId122"/>
    <hyperlink ref="B213" r:id="rId123"/>
    <hyperlink ref="B205" r:id="rId124"/>
    <hyperlink ref="B208" r:id="rId125"/>
    <hyperlink ref="B211" r:id="rId126"/>
    <hyperlink ref="B214" r:id="rId127"/>
  </hyperlinks>
  <pageMargins left="0.7" right="0.7" top="0.75" bottom="0.75" header="0.3" footer="0.3"/>
  <pageSetup paperSize="9" orientation="portrait" r:id="rId128"/>
  <drawing r:id="rId12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opLeftCell="A73" zoomScale="90" zoomScaleNormal="90" workbookViewId="0">
      <selection activeCell="A13" sqref="A13:J13"/>
    </sheetView>
  </sheetViews>
  <sheetFormatPr defaultRowHeight="13.5" x14ac:dyDescent="0.25"/>
  <cols>
    <col min="1" max="1" width="23.28515625" style="1" customWidth="1"/>
    <col min="2" max="2" width="15.7109375" style="1" customWidth="1"/>
    <col min="3" max="3" width="20.7109375" style="1" customWidth="1"/>
    <col min="4" max="4" width="15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1" width="9.140625" style="1"/>
    <col min="12" max="12" width="9.140625" style="94"/>
    <col min="13" max="16384" width="9.140625" style="1"/>
  </cols>
  <sheetData>
    <row r="1" spans="1:10" ht="39.950000000000003" customHeight="1" x14ac:dyDescent="0.25">
      <c r="A1" s="117" t="s">
        <v>1407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73"/>
      <c r="B2" s="39" t="s">
        <v>2</v>
      </c>
      <c r="C2" s="4" t="s">
        <v>48</v>
      </c>
      <c r="D2" s="4" t="s">
        <v>49</v>
      </c>
      <c r="E2" s="39" t="s">
        <v>9</v>
      </c>
      <c r="F2" s="39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39.950000000000003" customHeight="1" x14ac:dyDescent="0.25">
      <c r="A3" s="124"/>
      <c r="B3" s="6" t="s">
        <v>1413</v>
      </c>
      <c r="C3" s="73" t="s">
        <v>269</v>
      </c>
      <c r="D3" s="73" t="s">
        <v>57</v>
      </c>
      <c r="E3" s="73" t="s">
        <v>273</v>
      </c>
      <c r="F3" s="73" t="s">
        <v>13</v>
      </c>
      <c r="G3" s="73" t="s">
        <v>1394</v>
      </c>
      <c r="H3" s="9">
        <v>4770</v>
      </c>
      <c r="I3" s="8">
        <v>0.15</v>
      </c>
      <c r="J3" s="9">
        <f>CEILING(H3*0.85,10)</f>
        <v>4060</v>
      </c>
    </row>
    <row r="4" spans="1:10" ht="39.950000000000003" customHeight="1" x14ac:dyDescent="0.25">
      <c r="A4" s="124"/>
      <c r="B4" s="6" t="s">
        <v>1392</v>
      </c>
      <c r="C4" s="73" t="s">
        <v>270</v>
      </c>
      <c r="D4" s="73" t="s">
        <v>244</v>
      </c>
      <c r="E4" s="73" t="s">
        <v>273</v>
      </c>
      <c r="F4" s="73" t="s">
        <v>13</v>
      </c>
      <c r="G4" s="73" t="s">
        <v>1394</v>
      </c>
      <c r="H4" s="9">
        <v>4770</v>
      </c>
      <c r="I4" s="8">
        <v>0.15</v>
      </c>
      <c r="J4" s="9">
        <f>CEILING(H4*0.85,10)</f>
        <v>4060</v>
      </c>
    </row>
    <row r="5" spans="1:10" ht="39.950000000000003" customHeight="1" x14ac:dyDescent="0.25">
      <c r="A5" s="124"/>
      <c r="B5" s="6" t="s">
        <v>1393</v>
      </c>
      <c r="C5" s="73" t="s">
        <v>70</v>
      </c>
      <c r="D5" s="73" t="s">
        <v>187</v>
      </c>
      <c r="E5" s="73" t="s">
        <v>273</v>
      </c>
      <c r="F5" s="73" t="s">
        <v>13</v>
      </c>
      <c r="G5" s="73" t="s">
        <v>1394</v>
      </c>
      <c r="H5" s="9">
        <v>4770</v>
      </c>
      <c r="I5" s="8">
        <v>0.15</v>
      </c>
      <c r="J5" s="9">
        <f>CEILING(H5*0.85,10)</f>
        <v>4060</v>
      </c>
    </row>
    <row r="6" spans="1:10" ht="20.100000000000001" customHeight="1" x14ac:dyDescent="0.25">
      <c r="A6" s="143"/>
      <c r="B6" s="143"/>
      <c r="C6" s="143"/>
      <c r="D6" s="143"/>
      <c r="E6" s="143"/>
      <c r="F6" s="143"/>
      <c r="G6" s="143"/>
      <c r="H6" s="143"/>
      <c r="I6" s="143"/>
      <c r="J6" s="143"/>
    </row>
    <row r="7" spans="1:10" ht="39.950000000000003" customHeight="1" x14ac:dyDescent="0.25">
      <c r="A7" s="117" t="s">
        <v>1406</v>
      </c>
      <c r="B7" s="118"/>
      <c r="C7" s="118"/>
      <c r="D7" s="118"/>
      <c r="E7" s="118"/>
      <c r="F7" s="118"/>
      <c r="G7" s="118"/>
      <c r="H7" s="118"/>
      <c r="I7" s="118"/>
      <c r="J7" s="118"/>
    </row>
    <row r="8" spans="1:10" ht="30" customHeight="1" x14ac:dyDescent="0.25">
      <c r="A8" s="73"/>
      <c r="B8" s="39" t="s">
        <v>2</v>
      </c>
      <c r="C8" s="4" t="s">
        <v>48</v>
      </c>
      <c r="D8" s="4" t="s">
        <v>49</v>
      </c>
      <c r="E8" s="39" t="s">
        <v>9</v>
      </c>
      <c r="F8" s="39" t="s">
        <v>10</v>
      </c>
      <c r="G8" s="4" t="s">
        <v>11</v>
      </c>
      <c r="H8" s="4" t="s">
        <v>17</v>
      </c>
      <c r="I8" s="4" t="s">
        <v>12</v>
      </c>
      <c r="J8" s="4" t="s">
        <v>18</v>
      </c>
    </row>
    <row r="9" spans="1:10" ht="39.950000000000003" customHeight="1" x14ac:dyDescent="0.25">
      <c r="A9" s="124"/>
      <c r="B9" s="6" t="s">
        <v>1414</v>
      </c>
      <c r="C9" s="73" t="s">
        <v>269</v>
      </c>
      <c r="D9" s="73" t="s">
        <v>57</v>
      </c>
      <c r="E9" s="73" t="s">
        <v>273</v>
      </c>
      <c r="F9" s="73" t="s">
        <v>13</v>
      </c>
      <c r="G9" s="73" t="s">
        <v>1394</v>
      </c>
      <c r="H9" s="9">
        <v>5520</v>
      </c>
      <c r="I9" s="8">
        <v>0.15</v>
      </c>
      <c r="J9" s="9">
        <f>CEILING(H9*0.85,10)</f>
        <v>4700</v>
      </c>
    </row>
    <row r="10" spans="1:10" ht="39.950000000000003" customHeight="1" x14ac:dyDescent="0.25">
      <c r="A10" s="124"/>
      <c r="B10" s="6" t="s">
        <v>1395</v>
      </c>
      <c r="C10" s="73" t="s">
        <v>270</v>
      </c>
      <c r="D10" s="73" t="s">
        <v>244</v>
      </c>
      <c r="E10" s="73" t="s">
        <v>273</v>
      </c>
      <c r="F10" s="73" t="s">
        <v>13</v>
      </c>
      <c r="G10" s="73" t="s">
        <v>1394</v>
      </c>
      <c r="H10" s="9">
        <v>5520</v>
      </c>
      <c r="I10" s="8">
        <v>0.15</v>
      </c>
      <c r="J10" s="9">
        <f>CEILING(H10*0.85,10)</f>
        <v>4700</v>
      </c>
    </row>
    <row r="11" spans="1:10" ht="39.950000000000003" customHeight="1" x14ac:dyDescent="0.25">
      <c r="A11" s="124"/>
      <c r="B11" s="6" t="s">
        <v>1396</v>
      </c>
      <c r="C11" s="73" t="s">
        <v>70</v>
      </c>
      <c r="D11" s="73" t="s">
        <v>187</v>
      </c>
      <c r="E11" s="73" t="s">
        <v>273</v>
      </c>
      <c r="F11" s="73" t="s">
        <v>13</v>
      </c>
      <c r="G11" s="73" t="s">
        <v>1394</v>
      </c>
      <c r="H11" s="9">
        <v>5520</v>
      </c>
      <c r="I11" s="8">
        <v>0.15</v>
      </c>
      <c r="J11" s="9">
        <f>CEILING(H11*0.85,10)</f>
        <v>4700</v>
      </c>
    </row>
    <row r="12" spans="1:10" ht="20.100000000000001" customHeight="1" x14ac:dyDescent="0.25">
      <c r="A12" s="143"/>
      <c r="B12" s="143"/>
      <c r="C12" s="143"/>
      <c r="D12" s="143"/>
      <c r="E12" s="143"/>
      <c r="F12" s="143"/>
      <c r="G12" s="143"/>
      <c r="H12" s="143"/>
      <c r="I12" s="143"/>
      <c r="J12" s="143"/>
    </row>
    <row r="13" spans="1:10" ht="39.950000000000003" customHeight="1" x14ac:dyDescent="0.25">
      <c r="A13" s="117" t="s">
        <v>1405</v>
      </c>
      <c r="B13" s="118"/>
      <c r="C13" s="118"/>
      <c r="D13" s="118"/>
      <c r="E13" s="118"/>
      <c r="F13" s="118"/>
      <c r="G13" s="118"/>
      <c r="H13" s="118"/>
      <c r="I13" s="118"/>
      <c r="J13" s="118"/>
    </row>
    <row r="14" spans="1:10" ht="30" customHeight="1" x14ac:dyDescent="0.25">
      <c r="A14" s="73"/>
      <c r="B14" s="39" t="s">
        <v>2</v>
      </c>
      <c r="C14" s="4" t="s">
        <v>48</v>
      </c>
      <c r="D14" s="4" t="s">
        <v>49</v>
      </c>
      <c r="E14" s="39" t="s">
        <v>9</v>
      </c>
      <c r="F14" s="39" t="s">
        <v>10</v>
      </c>
      <c r="G14" s="4" t="s">
        <v>11</v>
      </c>
      <c r="H14" s="4" t="s">
        <v>17</v>
      </c>
      <c r="I14" s="4" t="s">
        <v>12</v>
      </c>
      <c r="J14" s="4" t="s">
        <v>18</v>
      </c>
    </row>
    <row r="15" spans="1:10" ht="39.950000000000003" customHeight="1" x14ac:dyDescent="0.25">
      <c r="A15" s="124"/>
      <c r="B15" s="6" t="s">
        <v>1415</v>
      </c>
      <c r="C15" s="73" t="s">
        <v>269</v>
      </c>
      <c r="D15" s="73" t="s">
        <v>57</v>
      </c>
      <c r="E15" s="73" t="s">
        <v>273</v>
      </c>
      <c r="F15" s="73" t="s">
        <v>13</v>
      </c>
      <c r="G15" s="73" t="s">
        <v>1399</v>
      </c>
      <c r="H15" s="9">
        <v>6300</v>
      </c>
      <c r="I15" s="8">
        <v>0.2</v>
      </c>
      <c r="J15" s="9">
        <f>CEILING(H15*0.8,10)</f>
        <v>5040</v>
      </c>
    </row>
    <row r="16" spans="1:10" ht="39.950000000000003" customHeight="1" x14ac:dyDescent="0.25">
      <c r="A16" s="124"/>
      <c r="B16" s="6" t="s">
        <v>1397</v>
      </c>
      <c r="C16" s="73" t="s">
        <v>270</v>
      </c>
      <c r="D16" s="73" t="s">
        <v>244</v>
      </c>
      <c r="E16" s="73" t="s">
        <v>273</v>
      </c>
      <c r="F16" s="73" t="s">
        <v>13</v>
      </c>
      <c r="G16" s="73" t="s">
        <v>1399</v>
      </c>
      <c r="H16" s="9">
        <v>6300</v>
      </c>
      <c r="I16" s="8">
        <v>0.2</v>
      </c>
      <c r="J16" s="9">
        <f>CEILING(H16*0.8,10)</f>
        <v>5040</v>
      </c>
    </row>
    <row r="17" spans="1:10" ht="39.950000000000003" customHeight="1" x14ac:dyDescent="0.25">
      <c r="A17" s="124"/>
      <c r="B17" s="6" t="s">
        <v>1398</v>
      </c>
      <c r="C17" s="73" t="s">
        <v>70</v>
      </c>
      <c r="D17" s="73" t="s">
        <v>187</v>
      </c>
      <c r="E17" s="73" t="s">
        <v>273</v>
      </c>
      <c r="F17" s="73" t="s">
        <v>13</v>
      </c>
      <c r="G17" s="73" t="s">
        <v>1399</v>
      </c>
      <c r="H17" s="9">
        <v>6300</v>
      </c>
      <c r="I17" s="8">
        <v>0.2</v>
      </c>
      <c r="J17" s="9">
        <f>CEILING(H17*0.8,10)</f>
        <v>5040</v>
      </c>
    </row>
    <row r="18" spans="1:10" ht="20.100000000000001" customHeight="1" x14ac:dyDescent="0.25">
      <c r="A18" s="143"/>
      <c r="B18" s="143"/>
      <c r="C18" s="143"/>
      <c r="D18" s="143"/>
      <c r="E18" s="143"/>
      <c r="F18" s="143"/>
      <c r="G18" s="143"/>
      <c r="H18" s="143"/>
      <c r="I18" s="143"/>
      <c r="J18" s="143"/>
    </row>
    <row r="19" spans="1:10" ht="39.950000000000003" customHeight="1" x14ac:dyDescent="0.25">
      <c r="A19" s="117" t="s">
        <v>1404</v>
      </c>
      <c r="B19" s="118"/>
      <c r="C19" s="118"/>
      <c r="D19" s="118"/>
      <c r="E19" s="118"/>
      <c r="F19" s="118"/>
      <c r="G19" s="118"/>
      <c r="H19" s="118"/>
      <c r="I19" s="118"/>
      <c r="J19" s="118"/>
    </row>
    <row r="20" spans="1:10" ht="30" customHeight="1" x14ac:dyDescent="0.25">
      <c r="A20" s="73"/>
      <c r="B20" s="39" t="s">
        <v>2</v>
      </c>
      <c r="C20" s="4" t="s">
        <v>48</v>
      </c>
      <c r="D20" s="4" t="s">
        <v>49</v>
      </c>
      <c r="E20" s="39" t="s">
        <v>9</v>
      </c>
      <c r="F20" s="39" t="s">
        <v>10</v>
      </c>
      <c r="G20" s="4" t="s">
        <v>11</v>
      </c>
      <c r="H20" s="4" t="s">
        <v>17</v>
      </c>
      <c r="I20" s="4" t="s">
        <v>12</v>
      </c>
      <c r="J20" s="4" t="s">
        <v>18</v>
      </c>
    </row>
    <row r="21" spans="1:10" ht="30" customHeight="1" x14ac:dyDescent="0.25">
      <c r="A21" s="124"/>
      <c r="B21" s="6" t="s">
        <v>1416</v>
      </c>
      <c r="C21" s="73" t="s">
        <v>555</v>
      </c>
      <c r="D21" s="73" t="s">
        <v>57</v>
      </c>
      <c r="E21" s="73" t="s">
        <v>273</v>
      </c>
      <c r="F21" s="73" t="s">
        <v>13</v>
      </c>
      <c r="G21" s="73" t="s">
        <v>1402</v>
      </c>
      <c r="H21" s="9">
        <v>9660</v>
      </c>
      <c r="I21" s="8">
        <v>0.2</v>
      </c>
      <c r="J21" s="9">
        <f>CEILING(H21*0.8,10)</f>
        <v>7730</v>
      </c>
    </row>
    <row r="22" spans="1:10" ht="30" customHeight="1" x14ac:dyDescent="0.25">
      <c r="A22" s="124"/>
      <c r="B22" s="6" t="s">
        <v>1417</v>
      </c>
      <c r="C22" s="73" t="s">
        <v>578</v>
      </c>
      <c r="D22" s="73" t="s">
        <v>244</v>
      </c>
      <c r="E22" s="73" t="s">
        <v>273</v>
      </c>
      <c r="F22" s="73" t="s">
        <v>13</v>
      </c>
      <c r="G22" s="73" t="s">
        <v>1402</v>
      </c>
      <c r="H22" s="9">
        <v>9660</v>
      </c>
      <c r="I22" s="8">
        <v>0.2</v>
      </c>
      <c r="J22" s="9">
        <f>CEILING(H22*0.8,10)</f>
        <v>7730</v>
      </c>
    </row>
    <row r="23" spans="1:10" ht="30" customHeight="1" x14ac:dyDescent="0.25">
      <c r="A23" s="124"/>
      <c r="B23" s="6" t="s">
        <v>1400</v>
      </c>
      <c r="C23" s="73" t="s">
        <v>68</v>
      </c>
      <c r="D23" s="73" t="s">
        <v>187</v>
      </c>
      <c r="E23" s="73" t="s">
        <v>273</v>
      </c>
      <c r="F23" s="73" t="s">
        <v>13</v>
      </c>
      <c r="G23" s="73" t="s">
        <v>1402</v>
      </c>
      <c r="H23" s="9">
        <v>9660</v>
      </c>
      <c r="I23" s="8">
        <v>0.2</v>
      </c>
      <c r="J23" s="9">
        <f>CEILING(H23*0.8,10)</f>
        <v>7730</v>
      </c>
    </row>
    <row r="24" spans="1:10" ht="30" customHeight="1" x14ac:dyDescent="0.25">
      <c r="A24" s="124"/>
      <c r="B24" s="6" t="s">
        <v>1401</v>
      </c>
      <c r="C24" s="73" t="s">
        <v>184</v>
      </c>
      <c r="D24" s="73" t="s">
        <v>538</v>
      </c>
      <c r="E24" s="73" t="s">
        <v>273</v>
      </c>
      <c r="F24" s="73" t="s">
        <v>13</v>
      </c>
      <c r="G24" s="73" t="s">
        <v>1402</v>
      </c>
      <c r="H24" s="9">
        <v>9660</v>
      </c>
      <c r="I24" s="8">
        <v>0.2</v>
      </c>
      <c r="J24" s="9">
        <f>CEILING(H24*0.8,10)</f>
        <v>7730</v>
      </c>
    </row>
    <row r="25" spans="1:10" ht="20.100000000000001" customHeight="1" x14ac:dyDescent="0.25">
      <c r="A25" s="143"/>
      <c r="B25" s="143"/>
      <c r="C25" s="143"/>
      <c r="D25" s="143"/>
      <c r="E25" s="143"/>
      <c r="F25" s="143"/>
      <c r="G25" s="143"/>
      <c r="H25" s="143"/>
      <c r="I25" s="143"/>
      <c r="J25" s="143"/>
    </row>
    <row r="26" spans="1:10" ht="39.950000000000003" customHeight="1" x14ac:dyDescent="0.25">
      <c r="A26" s="117" t="s">
        <v>1403</v>
      </c>
      <c r="B26" s="118"/>
      <c r="C26" s="118"/>
      <c r="D26" s="118"/>
      <c r="E26" s="118"/>
      <c r="F26" s="118"/>
      <c r="G26" s="118"/>
      <c r="H26" s="118"/>
      <c r="I26" s="118"/>
      <c r="J26" s="118"/>
    </row>
    <row r="27" spans="1:10" ht="30" customHeight="1" x14ac:dyDescent="0.25">
      <c r="A27" s="73"/>
      <c r="B27" s="39" t="s">
        <v>2</v>
      </c>
      <c r="C27" s="4" t="s">
        <v>48</v>
      </c>
      <c r="D27" s="4" t="s">
        <v>49</v>
      </c>
      <c r="E27" s="39" t="s">
        <v>9</v>
      </c>
      <c r="F27" s="39" t="s">
        <v>10</v>
      </c>
      <c r="G27" s="4" t="s">
        <v>11</v>
      </c>
      <c r="H27" s="4" t="s">
        <v>17</v>
      </c>
      <c r="I27" s="4" t="s">
        <v>12</v>
      </c>
      <c r="J27" s="4" t="s">
        <v>18</v>
      </c>
    </row>
    <row r="28" spans="1:10" ht="30" customHeight="1" x14ac:dyDescent="0.25">
      <c r="A28" s="124"/>
      <c r="B28" s="6" t="s">
        <v>1418</v>
      </c>
      <c r="C28" s="73" t="s">
        <v>555</v>
      </c>
      <c r="D28" s="73" t="s">
        <v>57</v>
      </c>
      <c r="E28" s="73" t="s">
        <v>273</v>
      </c>
      <c r="F28" s="73" t="s">
        <v>13</v>
      </c>
      <c r="G28" s="73" t="s">
        <v>1402</v>
      </c>
      <c r="H28" s="9">
        <v>10440</v>
      </c>
      <c r="I28" s="8">
        <v>0.2</v>
      </c>
      <c r="J28" s="9">
        <f>CEILING(H28*0.8,10)</f>
        <v>8360</v>
      </c>
    </row>
    <row r="29" spans="1:10" ht="30" customHeight="1" x14ac:dyDescent="0.25">
      <c r="A29" s="124"/>
      <c r="B29" s="6" t="s">
        <v>1419</v>
      </c>
      <c r="C29" s="73" t="s">
        <v>578</v>
      </c>
      <c r="D29" s="73" t="s">
        <v>244</v>
      </c>
      <c r="E29" s="73" t="s">
        <v>273</v>
      </c>
      <c r="F29" s="73" t="s">
        <v>13</v>
      </c>
      <c r="G29" s="73" t="s">
        <v>1402</v>
      </c>
      <c r="H29" s="9">
        <v>10440</v>
      </c>
      <c r="I29" s="8">
        <v>0.2</v>
      </c>
      <c r="J29" s="9">
        <f>CEILING(H29*0.8,10)</f>
        <v>8360</v>
      </c>
    </row>
    <row r="30" spans="1:10" ht="30" customHeight="1" x14ac:dyDescent="0.25">
      <c r="A30" s="124"/>
      <c r="B30" s="6" t="s">
        <v>1408</v>
      </c>
      <c r="C30" s="73" t="s">
        <v>68</v>
      </c>
      <c r="D30" s="73" t="s">
        <v>187</v>
      </c>
      <c r="E30" s="73" t="s">
        <v>273</v>
      </c>
      <c r="F30" s="73" t="s">
        <v>13</v>
      </c>
      <c r="G30" s="73" t="s">
        <v>1402</v>
      </c>
      <c r="H30" s="9">
        <v>10440</v>
      </c>
      <c r="I30" s="8">
        <v>0.2</v>
      </c>
      <c r="J30" s="9">
        <f>CEILING(H30*0.8,10)</f>
        <v>8360</v>
      </c>
    </row>
    <row r="31" spans="1:10" ht="30" customHeight="1" x14ac:dyDescent="0.25">
      <c r="A31" s="124"/>
      <c r="B31" s="6" t="s">
        <v>1409</v>
      </c>
      <c r="C31" s="73" t="s">
        <v>184</v>
      </c>
      <c r="D31" s="73" t="s">
        <v>538</v>
      </c>
      <c r="E31" s="73" t="s">
        <v>273</v>
      </c>
      <c r="F31" s="73" t="s">
        <v>13</v>
      </c>
      <c r="G31" s="73" t="s">
        <v>1402</v>
      </c>
      <c r="H31" s="9">
        <v>10440</v>
      </c>
      <c r="I31" s="8">
        <v>0.2</v>
      </c>
      <c r="J31" s="9">
        <f>CEILING(H31*0.8,10)</f>
        <v>8360</v>
      </c>
    </row>
    <row r="32" spans="1:10" ht="20.100000000000001" customHeight="1" x14ac:dyDescent="0.25">
      <c r="A32" s="143"/>
      <c r="B32" s="143"/>
      <c r="C32" s="143"/>
      <c r="D32" s="143"/>
      <c r="E32" s="143"/>
      <c r="F32" s="143"/>
      <c r="G32" s="143"/>
      <c r="H32" s="143"/>
      <c r="I32" s="143"/>
      <c r="J32" s="143"/>
    </row>
    <row r="33" spans="1:10" ht="39.950000000000003" customHeight="1" x14ac:dyDescent="0.25">
      <c r="A33" s="117" t="s">
        <v>1915</v>
      </c>
      <c r="B33" s="118"/>
      <c r="C33" s="118"/>
      <c r="D33" s="118"/>
      <c r="E33" s="118"/>
      <c r="F33" s="118"/>
      <c r="G33" s="118"/>
      <c r="H33" s="118"/>
      <c r="I33" s="118"/>
      <c r="J33" s="118"/>
    </row>
    <row r="34" spans="1:10" ht="30" customHeight="1" x14ac:dyDescent="0.25">
      <c r="A34" s="109"/>
      <c r="B34" s="39" t="s">
        <v>2</v>
      </c>
      <c r="C34" s="4" t="s">
        <v>48</v>
      </c>
      <c r="D34" s="4" t="s">
        <v>49</v>
      </c>
      <c r="E34" s="39" t="s">
        <v>9</v>
      </c>
      <c r="F34" s="39" t="s">
        <v>10</v>
      </c>
      <c r="G34" s="4" t="s">
        <v>11</v>
      </c>
      <c r="H34" s="4" t="s">
        <v>17</v>
      </c>
      <c r="I34" s="4" t="s">
        <v>12</v>
      </c>
      <c r="J34" s="4" t="s">
        <v>18</v>
      </c>
    </row>
    <row r="35" spans="1:10" ht="35.1" customHeight="1" x14ac:dyDescent="0.25">
      <c r="A35" s="124"/>
      <c r="B35" s="39" t="s">
        <v>1916</v>
      </c>
      <c r="C35" s="109" t="s">
        <v>555</v>
      </c>
      <c r="D35" s="109" t="s">
        <v>57</v>
      </c>
      <c r="E35" s="109" t="s">
        <v>273</v>
      </c>
      <c r="F35" s="109" t="s">
        <v>13</v>
      </c>
      <c r="G35" s="109" t="s">
        <v>1920</v>
      </c>
      <c r="H35" s="9">
        <v>10650</v>
      </c>
      <c r="I35" s="8">
        <v>0.2</v>
      </c>
      <c r="J35" s="9">
        <f>CEILING(H35*0.8,10)</f>
        <v>8520</v>
      </c>
    </row>
    <row r="36" spans="1:10" ht="35.1" customHeight="1" x14ac:dyDescent="0.25">
      <c r="A36" s="124"/>
      <c r="B36" s="39" t="s">
        <v>1917</v>
      </c>
      <c r="C36" s="109" t="s">
        <v>578</v>
      </c>
      <c r="D36" s="109" t="s">
        <v>244</v>
      </c>
      <c r="E36" s="109" t="s">
        <v>273</v>
      </c>
      <c r="F36" s="109" t="s">
        <v>13</v>
      </c>
      <c r="G36" s="109" t="s">
        <v>1920</v>
      </c>
      <c r="H36" s="9">
        <v>10650</v>
      </c>
      <c r="I36" s="8">
        <v>0.2</v>
      </c>
      <c r="J36" s="9">
        <f>CEILING(H36*0.8,10)</f>
        <v>8520</v>
      </c>
    </row>
    <row r="37" spans="1:10" ht="35.1" customHeight="1" x14ac:dyDescent="0.25">
      <c r="A37" s="124"/>
      <c r="B37" s="39" t="s">
        <v>1918</v>
      </c>
      <c r="C37" s="109" t="s">
        <v>68</v>
      </c>
      <c r="D37" s="109" t="s">
        <v>187</v>
      </c>
      <c r="E37" s="109" t="s">
        <v>273</v>
      </c>
      <c r="F37" s="109" t="s">
        <v>13</v>
      </c>
      <c r="G37" s="109" t="s">
        <v>1920</v>
      </c>
      <c r="H37" s="9">
        <v>10650</v>
      </c>
      <c r="I37" s="8">
        <v>0.2</v>
      </c>
      <c r="J37" s="9">
        <f>CEILING(H37*0.8,10)</f>
        <v>8520</v>
      </c>
    </row>
    <row r="38" spans="1:10" ht="35.1" customHeight="1" x14ac:dyDescent="0.25">
      <c r="A38" s="124"/>
      <c r="B38" s="39" t="s">
        <v>1919</v>
      </c>
      <c r="C38" s="109" t="s">
        <v>184</v>
      </c>
      <c r="D38" s="109" t="s">
        <v>538</v>
      </c>
      <c r="E38" s="109" t="s">
        <v>273</v>
      </c>
      <c r="F38" s="109" t="s">
        <v>13</v>
      </c>
      <c r="G38" s="109" t="s">
        <v>1920</v>
      </c>
      <c r="H38" s="9">
        <v>10650</v>
      </c>
      <c r="I38" s="8">
        <v>0.2</v>
      </c>
      <c r="J38" s="9">
        <f>CEILING(H38*0.8,10)</f>
        <v>8520</v>
      </c>
    </row>
    <row r="39" spans="1:10" ht="20.100000000000001" customHeight="1" x14ac:dyDescent="0.25">
      <c r="A39" s="143"/>
      <c r="B39" s="143"/>
      <c r="C39" s="143"/>
      <c r="D39" s="143"/>
      <c r="E39" s="143"/>
      <c r="F39" s="143"/>
      <c r="G39" s="143"/>
      <c r="H39" s="143"/>
      <c r="I39" s="143"/>
      <c r="J39" s="143"/>
    </row>
    <row r="40" spans="1:10" ht="39.950000000000003" customHeight="1" x14ac:dyDescent="0.25">
      <c r="A40" s="117" t="s">
        <v>1410</v>
      </c>
      <c r="B40" s="118"/>
      <c r="C40" s="118"/>
      <c r="D40" s="118"/>
      <c r="E40" s="118"/>
      <c r="F40" s="118"/>
      <c r="G40" s="118"/>
      <c r="H40" s="118"/>
      <c r="I40" s="118"/>
      <c r="J40" s="118"/>
    </row>
    <row r="41" spans="1:10" ht="30" customHeight="1" x14ac:dyDescent="0.25">
      <c r="A41" s="73"/>
      <c r="B41" s="39" t="s">
        <v>2</v>
      </c>
      <c r="C41" s="4" t="s">
        <v>48</v>
      </c>
      <c r="D41" s="4" t="s">
        <v>49</v>
      </c>
      <c r="E41" s="39" t="s">
        <v>9</v>
      </c>
      <c r="F41" s="39" t="s">
        <v>10</v>
      </c>
      <c r="G41" s="4" t="s">
        <v>11</v>
      </c>
      <c r="H41" s="4" t="s">
        <v>17</v>
      </c>
      <c r="I41" s="4" t="s">
        <v>12</v>
      </c>
      <c r="J41" s="4" t="s">
        <v>18</v>
      </c>
    </row>
    <row r="42" spans="1:10" ht="39.950000000000003" customHeight="1" x14ac:dyDescent="0.25">
      <c r="A42" s="124"/>
      <c r="B42" s="6" t="s">
        <v>1420</v>
      </c>
      <c r="C42" s="73" t="s">
        <v>269</v>
      </c>
      <c r="D42" s="73" t="s">
        <v>1421</v>
      </c>
      <c r="E42" s="73" t="s">
        <v>273</v>
      </c>
      <c r="F42" s="73" t="s">
        <v>13</v>
      </c>
      <c r="G42" s="73" t="s">
        <v>1399</v>
      </c>
      <c r="H42" s="9">
        <v>7320</v>
      </c>
      <c r="I42" s="8">
        <v>0.2</v>
      </c>
      <c r="J42" s="9">
        <f>CEILING(H42*0.8,10)</f>
        <v>5860</v>
      </c>
    </row>
    <row r="43" spans="1:10" ht="39.950000000000003" customHeight="1" x14ac:dyDescent="0.25">
      <c r="A43" s="124"/>
      <c r="B43" s="6" t="s">
        <v>1411</v>
      </c>
      <c r="C43" s="73" t="s">
        <v>270</v>
      </c>
      <c r="D43" s="73" t="s">
        <v>1422</v>
      </c>
      <c r="E43" s="73" t="s">
        <v>273</v>
      </c>
      <c r="F43" s="73" t="s">
        <v>13</v>
      </c>
      <c r="G43" s="73" t="s">
        <v>1399</v>
      </c>
      <c r="H43" s="9">
        <v>7320</v>
      </c>
      <c r="I43" s="8">
        <v>0.2</v>
      </c>
      <c r="J43" s="9">
        <f>CEILING(H43*0.8,10)</f>
        <v>5860</v>
      </c>
    </row>
    <row r="44" spans="1:10" ht="39.950000000000003" customHeight="1" x14ac:dyDescent="0.25">
      <c r="A44" s="124"/>
      <c r="B44" s="6" t="s">
        <v>1412</v>
      </c>
      <c r="C44" s="73" t="s">
        <v>70</v>
      </c>
      <c r="D44" s="73" t="s">
        <v>1423</v>
      </c>
      <c r="E44" s="73" t="s">
        <v>273</v>
      </c>
      <c r="F44" s="73" t="s">
        <v>13</v>
      </c>
      <c r="G44" s="73" t="s">
        <v>1399</v>
      </c>
      <c r="H44" s="9">
        <v>7320</v>
      </c>
      <c r="I44" s="8">
        <v>0.2</v>
      </c>
      <c r="J44" s="9">
        <f>CEILING(H44*0.8,10)</f>
        <v>5860</v>
      </c>
    </row>
    <row r="45" spans="1:10" ht="20.100000000000001" customHeight="1" x14ac:dyDescent="0.25">
      <c r="A45" s="143"/>
      <c r="B45" s="143"/>
      <c r="C45" s="143"/>
      <c r="D45" s="143"/>
      <c r="E45" s="143"/>
      <c r="F45" s="143"/>
      <c r="G45" s="143"/>
      <c r="H45" s="143"/>
      <c r="I45" s="143"/>
      <c r="J45" s="143"/>
    </row>
    <row r="46" spans="1:10" ht="39.950000000000003" customHeight="1" x14ac:dyDescent="0.25">
      <c r="A46" s="117" t="s">
        <v>1424</v>
      </c>
      <c r="B46" s="118"/>
      <c r="C46" s="118"/>
      <c r="D46" s="118"/>
      <c r="E46" s="118"/>
      <c r="F46" s="118"/>
      <c r="G46" s="118"/>
      <c r="H46" s="118"/>
      <c r="I46" s="118"/>
      <c r="J46" s="118"/>
    </row>
    <row r="47" spans="1:10" ht="30" customHeight="1" x14ac:dyDescent="0.25">
      <c r="A47" s="73"/>
      <c r="B47" s="39" t="s">
        <v>2</v>
      </c>
      <c r="C47" s="4" t="s">
        <v>48</v>
      </c>
      <c r="D47" s="4" t="s">
        <v>49</v>
      </c>
      <c r="E47" s="39" t="s">
        <v>9</v>
      </c>
      <c r="F47" s="39" t="s">
        <v>10</v>
      </c>
      <c r="G47" s="4" t="s">
        <v>11</v>
      </c>
      <c r="H47" s="4" t="s">
        <v>17</v>
      </c>
      <c r="I47" s="4" t="s">
        <v>12</v>
      </c>
      <c r="J47" s="4" t="s">
        <v>18</v>
      </c>
    </row>
    <row r="48" spans="1:10" ht="39.950000000000003" customHeight="1" x14ac:dyDescent="0.25">
      <c r="A48" s="124"/>
      <c r="B48" s="6" t="s">
        <v>1425</v>
      </c>
      <c r="C48" s="73" t="s">
        <v>578</v>
      </c>
      <c r="D48" s="73" t="s">
        <v>1421</v>
      </c>
      <c r="E48" s="73" t="s">
        <v>273</v>
      </c>
      <c r="F48" s="73" t="s">
        <v>13</v>
      </c>
      <c r="G48" s="73" t="s">
        <v>1399</v>
      </c>
      <c r="H48" s="9">
        <v>6480</v>
      </c>
      <c r="I48" s="8">
        <v>0.2</v>
      </c>
      <c r="J48" s="9">
        <f>CEILING(H48*0.8,10)</f>
        <v>5190</v>
      </c>
    </row>
    <row r="49" spans="1:10" ht="39.950000000000003" customHeight="1" x14ac:dyDescent="0.25">
      <c r="A49" s="124"/>
      <c r="B49" s="6" t="s">
        <v>1426</v>
      </c>
      <c r="C49" s="73" t="s">
        <v>68</v>
      </c>
      <c r="D49" s="73" t="s">
        <v>1422</v>
      </c>
      <c r="E49" s="73" t="s">
        <v>273</v>
      </c>
      <c r="F49" s="73" t="s">
        <v>13</v>
      </c>
      <c r="G49" s="73" t="s">
        <v>1399</v>
      </c>
      <c r="H49" s="9">
        <v>6480</v>
      </c>
      <c r="I49" s="8">
        <v>0.2</v>
      </c>
      <c r="J49" s="9">
        <f>CEILING(H49*0.8,10)</f>
        <v>5190</v>
      </c>
    </row>
    <row r="50" spans="1:10" ht="39.950000000000003" customHeight="1" x14ac:dyDescent="0.25">
      <c r="A50" s="124"/>
      <c r="B50" s="6" t="s">
        <v>1427</v>
      </c>
      <c r="C50" s="73" t="s">
        <v>184</v>
      </c>
      <c r="D50" s="73" t="s">
        <v>1423</v>
      </c>
      <c r="E50" s="73" t="s">
        <v>273</v>
      </c>
      <c r="F50" s="73" t="s">
        <v>13</v>
      </c>
      <c r="G50" s="73" t="s">
        <v>1399</v>
      </c>
      <c r="H50" s="9">
        <v>6480</v>
      </c>
      <c r="I50" s="8">
        <v>0.2</v>
      </c>
      <c r="J50" s="9">
        <f>CEILING(H50*0.8,10)</f>
        <v>5190</v>
      </c>
    </row>
    <row r="51" spans="1:10" ht="20.100000000000001" customHeight="1" x14ac:dyDescent="0.25">
      <c r="A51" s="143"/>
      <c r="B51" s="143"/>
      <c r="C51" s="143"/>
      <c r="D51" s="143"/>
      <c r="E51" s="143"/>
      <c r="F51" s="143"/>
      <c r="G51" s="143"/>
      <c r="H51" s="143"/>
      <c r="I51" s="143"/>
      <c r="J51" s="143"/>
    </row>
    <row r="52" spans="1:10" ht="39.950000000000003" customHeight="1" x14ac:dyDescent="0.25">
      <c r="A52" s="117" t="s">
        <v>1428</v>
      </c>
      <c r="B52" s="118"/>
      <c r="C52" s="118"/>
      <c r="D52" s="118"/>
      <c r="E52" s="118"/>
      <c r="F52" s="118"/>
      <c r="G52" s="118"/>
      <c r="H52" s="118"/>
      <c r="I52" s="118"/>
      <c r="J52" s="118"/>
    </row>
    <row r="53" spans="1:10" ht="30" customHeight="1" x14ac:dyDescent="0.25">
      <c r="A53" s="73"/>
      <c r="B53" s="39" t="s">
        <v>2</v>
      </c>
      <c r="C53" s="4" t="s">
        <v>48</v>
      </c>
      <c r="D53" s="4" t="s">
        <v>49</v>
      </c>
      <c r="E53" s="39" t="s">
        <v>9</v>
      </c>
      <c r="F53" s="39" t="s">
        <v>10</v>
      </c>
      <c r="G53" s="4" t="s">
        <v>11</v>
      </c>
      <c r="H53" s="4" t="s">
        <v>17</v>
      </c>
      <c r="I53" s="4" t="s">
        <v>12</v>
      </c>
      <c r="J53" s="4" t="s">
        <v>18</v>
      </c>
    </row>
    <row r="54" spans="1:10" ht="39.950000000000003" customHeight="1" x14ac:dyDescent="0.25">
      <c r="A54" s="124"/>
      <c r="B54" s="6" t="s">
        <v>1429</v>
      </c>
      <c r="C54" s="73" t="s">
        <v>578</v>
      </c>
      <c r="D54" s="73" t="s">
        <v>1421</v>
      </c>
      <c r="E54" s="73" t="s">
        <v>273</v>
      </c>
      <c r="F54" s="73" t="s">
        <v>13</v>
      </c>
      <c r="G54" s="73" t="s">
        <v>1399</v>
      </c>
      <c r="H54" s="9">
        <v>7020</v>
      </c>
      <c r="I54" s="8">
        <v>0.2</v>
      </c>
      <c r="J54" s="9">
        <f>CEILING(H54*0.8,10)</f>
        <v>5620</v>
      </c>
    </row>
    <row r="55" spans="1:10" ht="39.950000000000003" customHeight="1" x14ac:dyDescent="0.25">
      <c r="A55" s="124"/>
      <c r="B55" s="6" t="s">
        <v>1430</v>
      </c>
      <c r="C55" s="73" t="s">
        <v>68</v>
      </c>
      <c r="D55" s="73" t="s">
        <v>1422</v>
      </c>
      <c r="E55" s="73" t="s">
        <v>273</v>
      </c>
      <c r="F55" s="73" t="s">
        <v>13</v>
      </c>
      <c r="G55" s="73" t="s">
        <v>1399</v>
      </c>
      <c r="H55" s="9">
        <v>7020</v>
      </c>
      <c r="I55" s="8">
        <v>0.2</v>
      </c>
      <c r="J55" s="9">
        <f>CEILING(H55*0.8,10)</f>
        <v>5620</v>
      </c>
    </row>
    <row r="56" spans="1:10" ht="39.950000000000003" customHeight="1" x14ac:dyDescent="0.25">
      <c r="A56" s="124"/>
      <c r="B56" s="6" t="s">
        <v>1431</v>
      </c>
      <c r="C56" s="73" t="s">
        <v>184</v>
      </c>
      <c r="D56" s="73" t="s">
        <v>1423</v>
      </c>
      <c r="E56" s="73" t="s">
        <v>273</v>
      </c>
      <c r="F56" s="73" t="s">
        <v>13</v>
      </c>
      <c r="G56" s="73" t="s">
        <v>1399</v>
      </c>
      <c r="H56" s="9">
        <v>7020</v>
      </c>
      <c r="I56" s="8">
        <v>0.2</v>
      </c>
      <c r="J56" s="9">
        <f>CEILING(H56*0.8,10)</f>
        <v>5620</v>
      </c>
    </row>
    <row r="57" spans="1:10" ht="20.100000000000001" customHeight="1" x14ac:dyDescent="0.25">
      <c r="A57" s="143"/>
      <c r="B57" s="143"/>
      <c r="C57" s="143"/>
      <c r="D57" s="143"/>
      <c r="E57" s="143"/>
      <c r="F57" s="143"/>
      <c r="G57" s="143"/>
      <c r="H57" s="143"/>
      <c r="I57" s="143"/>
      <c r="J57" s="143"/>
    </row>
    <row r="58" spans="1:10" ht="39.950000000000003" customHeight="1" x14ac:dyDescent="0.25">
      <c r="A58" s="117" t="s">
        <v>1432</v>
      </c>
      <c r="B58" s="118"/>
      <c r="C58" s="118"/>
      <c r="D58" s="118"/>
      <c r="E58" s="118"/>
      <c r="F58" s="118"/>
      <c r="G58" s="118"/>
      <c r="H58" s="118"/>
      <c r="I58" s="118"/>
      <c r="J58" s="118"/>
    </row>
    <row r="59" spans="1:10" ht="30" customHeight="1" x14ac:dyDescent="0.25">
      <c r="A59" s="73"/>
      <c r="B59" s="39" t="s">
        <v>2</v>
      </c>
      <c r="C59" s="4" t="s">
        <v>48</v>
      </c>
      <c r="D59" s="4" t="s">
        <v>49</v>
      </c>
      <c r="E59" s="39" t="s">
        <v>9</v>
      </c>
      <c r="F59" s="39" t="s">
        <v>10</v>
      </c>
      <c r="G59" s="4" t="s">
        <v>11</v>
      </c>
      <c r="H59" s="4" t="s">
        <v>17</v>
      </c>
      <c r="I59" s="4" t="s">
        <v>12</v>
      </c>
      <c r="J59" s="4" t="s">
        <v>18</v>
      </c>
    </row>
    <row r="60" spans="1:10" ht="27" customHeight="1" x14ac:dyDescent="0.25">
      <c r="A60" s="124"/>
      <c r="B60" s="6" t="s">
        <v>1948</v>
      </c>
      <c r="C60" s="73" t="s">
        <v>1447</v>
      </c>
      <c r="D60" s="73" t="s">
        <v>1433</v>
      </c>
      <c r="E60" s="73" t="s">
        <v>273</v>
      </c>
      <c r="F60" s="73" t="s">
        <v>13</v>
      </c>
      <c r="G60" s="73" t="s">
        <v>626</v>
      </c>
      <c r="H60" s="9">
        <v>9300</v>
      </c>
      <c r="I60" s="8">
        <v>0.2</v>
      </c>
      <c r="J60" s="9">
        <f>CEILING(H60*0.8,10)</f>
        <v>7440</v>
      </c>
    </row>
    <row r="61" spans="1:10" ht="27" customHeight="1" x14ac:dyDescent="0.25">
      <c r="A61" s="124"/>
      <c r="B61" s="6" t="s">
        <v>1949</v>
      </c>
      <c r="C61" s="73" t="s">
        <v>1447</v>
      </c>
      <c r="D61" s="73" t="s">
        <v>1433</v>
      </c>
      <c r="E61" s="73" t="s">
        <v>273</v>
      </c>
      <c r="F61" s="73" t="s">
        <v>13</v>
      </c>
      <c r="G61" s="73" t="s">
        <v>997</v>
      </c>
      <c r="H61" s="9">
        <v>12300</v>
      </c>
      <c r="I61" s="8">
        <v>0.2</v>
      </c>
      <c r="J61" s="9">
        <f t="shared" ref="J61:J68" si="0">CEILING(H61*0.8,10)</f>
        <v>9840</v>
      </c>
    </row>
    <row r="62" spans="1:10" ht="27" customHeight="1" x14ac:dyDescent="0.25">
      <c r="A62" s="124"/>
      <c r="B62" s="6" t="s">
        <v>1950</v>
      </c>
      <c r="C62" s="73" t="s">
        <v>1448</v>
      </c>
      <c r="D62" s="73" t="s">
        <v>1434</v>
      </c>
      <c r="E62" s="73" t="s">
        <v>273</v>
      </c>
      <c r="F62" s="73" t="s">
        <v>13</v>
      </c>
      <c r="G62" s="73" t="s">
        <v>626</v>
      </c>
      <c r="H62" s="9">
        <v>9300</v>
      </c>
      <c r="I62" s="8">
        <v>0.2</v>
      </c>
      <c r="J62" s="9">
        <f t="shared" si="0"/>
        <v>7440</v>
      </c>
    </row>
    <row r="63" spans="1:10" ht="27" customHeight="1" x14ac:dyDescent="0.25">
      <c r="A63" s="124"/>
      <c r="B63" s="6" t="s">
        <v>1951</v>
      </c>
      <c r="C63" s="73" t="s">
        <v>1448</v>
      </c>
      <c r="D63" s="73" t="s">
        <v>1434</v>
      </c>
      <c r="E63" s="73" t="s">
        <v>273</v>
      </c>
      <c r="F63" s="73" t="s">
        <v>13</v>
      </c>
      <c r="G63" s="73" t="s">
        <v>997</v>
      </c>
      <c r="H63" s="9">
        <v>12300</v>
      </c>
      <c r="I63" s="8">
        <v>0.2</v>
      </c>
      <c r="J63" s="9">
        <f t="shared" si="0"/>
        <v>9840</v>
      </c>
    </row>
    <row r="64" spans="1:10" ht="27" customHeight="1" x14ac:dyDescent="0.25">
      <c r="A64" s="124"/>
      <c r="B64" s="6" t="s">
        <v>1952</v>
      </c>
      <c r="C64" s="73" t="s">
        <v>1448</v>
      </c>
      <c r="D64" s="73" t="s">
        <v>1434</v>
      </c>
      <c r="E64" s="73" t="s">
        <v>273</v>
      </c>
      <c r="F64" s="73" t="s">
        <v>13</v>
      </c>
      <c r="G64" s="73" t="s">
        <v>627</v>
      </c>
      <c r="H64" s="9">
        <v>15600</v>
      </c>
      <c r="I64" s="8">
        <v>0.2</v>
      </c>
      <c r="J64" s="9">
        <f t="shared" si="0"/>
        <v>12480</v>
      </c>
    </row>
    <row r="65" spans="1:10" ht="27" customHeight="1" x14ac:dyDescent="0.25">
      <c r="A65" s="124"/>
      <c r="B65" s="6" t="s">
        <v>1953</v>
      </c>
      <c r="C65" s="73" t="s">
        <v>1449</v>
      </c>
      <c r="D65" s="73" t="s">
        <v>1435</v>
      </c>
      <c r="E65" s="73" t="s">
        <v>273</v>
      </c>
      <c r="F65" s="73" t="s">
        <v>13</v>
      </c>
      <c r="G65" s="73" t="s">
        <v>997</v>
      </c>
      <c r="H65" s="9">
        <v>12300</v>
      </c>
      <c r="I65" s="8">
        <v>0.2</v>
      </c>
      <c r="J65" s="9">
        <f t="shared" si="0"/>
        <v>9840</v>
      </c>
    </row>
    <row r="66" spans="1:10" ht="27" customHeight="1" x14ac:dyDescent="0.25">
      <c r="A66" s="124"/>
      <c r="B66" s="6" t="s">
        <v>1954</v>
      </c>
      <c r="C66" s="73" t="s">
        <v>1449</v>
      </c>
      <c r="D66" s="73" t="s">
        <v>1435</v>
      </c>
      <c r="E66" s="73" t="s">
        <v>273</v>
      </c>
      <c r="F66" s="73" t="s">
        <v>13</v>
      </c>
      <c r="G66" s="73" t="s">
        <v>627</v>
      </c>
      <c r="H66" s="9">
        <v>15600</v>
      </c>
      <c r="I66" s="8">
        <v>0.2</v>
      </c>
      <c r="J66" s="9">
        <f t="shared" si="0"/>
        <v>12480</v>
      </c>
    </row>
    <row r="67" spans="1:10" ht="27" customHeight="1" x14ac:dyDescent="0.25">
      <c r="A67" s="124"/>
      <c r="B67" s="6" t="s">
        <v>1955</v>
      </c>
      <c r="C67" s="73" t="s">
        <v>1449</v>
      </c>
      <c r="D67" s="73" t="s">
        <v>1435</v>
      </c>
      <c r="E67" s="73" t="s">
        <v>273</v>
      </c>
      <c r="F67" s="73" t="s">
        <v>13</v>
      </c>
      <c r="G67" s="73" t="s">
        <v>880</v>
      </c>
      <c r="H67" s="9">
        <v>17100</v>
      </c>
      <c r="I67" s="8">
        <v>0.2</v>
      </c>
      <c r="J67" s="9">
        <f t="shared" si="0"/>
        <v>13680</v>
      </c>
    </row>
    <row r="68" spans="1:10" ht="27" customHeight="1" x14ac:dyDescent="0.25">
      <c r="A68" s="124"/>
      <c r="B68" s="6" t="s">
        <v>1956</v>
      </c>
      <c r="C68" s="73" t="s">
        <v>1450</v>
      </c>
      <c r="D68" s="73" t="s">
        <v>1436</v>
      </c>
      <c r="E68" s="73" t="s">
        <v>273</v>
      </c>
      <c r="F68" s="73" t="s">
        <v>13</v>
      </c>
      <c r="G68" s="73" t="s">
        <v>880</v>
      </c>
      <c r="H68" s="9">
        <v>17100</v>
      </c>
      <c r="I68" s="8">
        <v>0.2</v>
      </c>
      <c r="J68" s="9">
        <f t="shared" si="0"/>
        <v>13680</v>
      </c>
    </row>
    <row r="69" spans="1:10" ht="20.100000000000001" customHeight="1" x14ac:dyDescent="0.25">
      <c r="A69" s="139" t="s">
        <v>74</v>
      </c>
      <c r="B69" s="139"/>
      <c r="C69" s="139"/>
      <c r="D69" s="139"/>
      <c r="E69" s="139"/>
      <c r="F69" s="139"/>
      <c r="G69" s="139"/>
      <c r="H69" s="139"/>
      <c r="I69" s="139"/>
      <c r="J69" s="139"/>
    </row>
    <row r="70" spans="1:10" ht="20.100000000000001" customHeight="1" x14ac:dyDescent="0.25">
      <c r="A70" s="135" t="s">
        <v>1018</v>
      </c>
      <c r="B70" s="136"/>
      <c r="C70" s="136"/>
      <c r="D70" s="136"/>
      <c r="E70" s="136"/>
      <c r="F70" s="136"/>
      <c r="G70" s="137"/>
      <c r="H70" s="9" t="s">
        <v>931</v>
      </c>
      <c r="I70" s="8" t="s">
        <v>222</v>
      </c>
      <c r="J70" s="9" t="s">
        <v>931</v>
      </c>
    </row>
    <row r="71" spans="1:10" ht="20.100000000000001" customHeight="1" x14ac:dyDescent="0.25">
      <c r="A71" s="143"/>
      <c r="B71" s="143"/>
      <c r="C71" s="143"/>
      <c r="D71" s="143"/>
      <c r="E71" s="143"/>
      <c r="F71" s="143"/>
      <c r="G71" s="143"/>
      <c r="H71" s="143"/>
      <c r="I71" s="143"/>
      <c r="J71" s="143"/>
    </row>
    <row r="72" spans="1:10" ht="39.950000000000003" customHeight="1" x14ac:dyDescent="0.25">
      <c r="A72" s="117" t="s">
        <v>1446</v>
      </c>
      <c r="B72" s="117"/>
      <c r="C72" s="117"/>
      <c r="D72" s="117"/>
      <c r="E72" s="117"/>
      <c r="F72" s="117"/>
      <c r="G72" s="117"/>
      <c r="H72" s="117"/>
      <c r="I72" s="117"/>
      <c r="J72" s="117"/>
    </row>
    <row r="73" spans="1:10" ht="30" customHeight="1" x14ac:dyDescent="0.25">
      <c r="A73" s="73"/>
      <c r="B73" s="39" t="s">
        <v>2</v>
      </c>
      <c r="C73" s="4" t="s">
        <v>48</v>
      </c>
      <c r="D73" s="4" t="s">
        <v>49</v>
      </c>
      <c r="E73" s="39" t="s">
        <v>9</v>
      </c>
      <c r="F73" s="39" t="s">
        <v>10</v>
      </c>
      <c r="G73" s="4" t="s">
        <v>11</v>
      </c>
      <c r="H73" s="4" t="s">
        <v>17</v>
      </c>
      <c r="I73" s="4" t="s">
        <v>12</v>
      </c>
      <c r="J73" s="4" t="s">
        <v>18</v>
      </c>
    </row>
    <row r="74" spans="1:10" ht="27" customHeight="1" x14ac:dyDescent="0.25">
      <c r="A74" s="124"/>
      <c r="B74" s="6" t="s">
        <v>1957</v>
      </c>
      <c r="C74" s="73" t="s">
        <v>1447</v>
      </c>
      <c r="D74" s="73" t="s">
        <v>1433</v>
      </c>
      <c r="E74" s="73" t="s">
        <v>273</v>
      </c>
      <c r="F74" s="73" t="s">
        <v>13</v>
      </c>
      <c r="G74" s="73" t="s">
        <v>626</v>
      </c>
      <c r="H74" s="9">
        <v>10800</v>
      </c>
      <c r="I74" s="8">
        <v>0.2</v>
      </c>
      <c r="J74" s="9">
        <f>CEILING(H74*0.8,10)</f>
        <v>8640</v>
      </c>
    </row>
    <row r="75" spans="1:10" ht="27" customHeight="1" x14ac:dyDescent="0.25">
      <c r="A75" s="124"/>
      <c r="B75" s="6" t="s">
        <v>1958</v>
      </c>
      <c r="C75" s="73" t="s">
        <v>1447</v>
      </c>
      <c r="D75" s="73" t="s">
        <v>1433</v>
      </c>
      <c r="E75" s="73" t="s">
        <v>273</v>
      </c>
      <c r="F75" s="73" t="s">
        <v>13</v>
      </c>
      <c r="G75" s="73" t="s">
        <v>997</v>
      </c>
      <c r="H75" s="9">
        <v>13200</v>
      </c>
      <c r="I75" s="8">
        <v>0.2</v>
      </c>
      <c r="J75" s="9">
        <f>CEILING(H75*0.8,10)</f>
        <v>10560</v>
      </c>
    </row>
    <row r="76" spans="1:10" ht="27" customHeight="1" x14ac:dyDescent="0.25">
      <c r="A76" s="124"/>
      <c r="B76" s="6" t="s">
        <v>1959</v>
      </c>
      <c r="C76" s="73" t="s">
        <v>1448</v>
      </c>
      <c r="D76" s="73" t="s">
        <v>1434</v>
      </c>
      <c r="E76" s="73" t="s">
        <v>273</v>
      </c>
      <c r="F76" s="73" t="s">
        <v>13</v>
      </c>
      <c r="G76" s="73" t="s">
        <v>626</v>
      </c>
      <c r="H76" s="9">
        <v>10800</v>
      </c>
      <c r="I76" s="8">
        <v>0.2</v>
      </c>
      <c r="J76" s="9">
        <f t="shared" ref="J76:J82" si="1">CEILING(H76*0.8,10)</f>
        <v>8640</v>
      </c>
    </row>
    <row r="77" spans="1:10" ht="27" customHeight="1" x14ac:dyDescent="0.25">
      <c r="A77" s="124"/>
      <c r="B77" s="6" t="s">
        <v>1960</v>
      </c>
      <c r="C77" s="73" t="s">
        <v>1448</v>
      </c>
      <c r="D77" s="73" t="s">
        <v>1434</v>
      </c>
      <c r="E77" s="73" t="s">
        <v>273</v>
      </c>
      <c r="F77" s="73" t="s">
        <v>13</v>
      </c>
      <c r="G77" s="73" t="s">
        <v>997</v>
      </c>
      <c r="H77" s="9">
        <v>13200</v>
      </c>
      <c r="I77" s="8">
        <v>0.2</v>
      </c>
      <c r="J77" s="9">
        <f t="shared" si="1"/>
        <v>10560</v>
      </c>
    </row>
    <row r="78" spans="1:10" ht="27" customHeight="1" x14ac:dyDescent="0.25">
      <c r="A78" s="124"/>
      <c r="B78" s="6" t="s">
        <v>1965</v>
      </c>
      <c r="C78" s="73" t="s">
        <v>1448</v>
      </c>
      <c r="D78" s="73" t="s">
        <v>1434</v>
      </c>
      <c r="E78" s="73" t="s">
        <v>273</v>
      </c>
      <c r="F78" s="73" t="s">
        <v>13</v>
      </c>
      <c r="G78" s="73" t="s">
        <v>627</v>
      </c>
      <c r="H78" s="9">
        <v>17400</v>
      </c>
      <c r="I78" s="8">
        <v>0.2</v>
      </c>
      <c r="J78" s="9">
        <f t="shared" si="1"/>
        <v>13920</v>
      </c>
    </row>
    <row r="79" spans="1:10" ht="27" customHeight="1" x14ac:dyDescent="0.25">
      <c r="A79" s="124"/>
      <c r="B79" s="6" t="s">
        <v>1961</v>
      </c>
      <c r="C79" s="73" t="s">
        <v>1449</v>
      </c>
      <c r="D79" s="73" t="s">
        <v>1435</v>
      </c>
      <c r="E79" s="73" t="s">
        <v>273</v>
      </c>
      <c r="F79" s="73" t="s">
        <v>13</v>
      </c>
      <c r="G79" s="73" t="s">
        <v>997</v>
      </c>
      <c r="H79" s="9">
        <v>13200</v>
      </c>
      <c r="I79" s="8">
        <v>0.2</v>
      </c>
      <c r="J79" s="9">
        <f t="shared" si="1"/>
        <v>10560</v>
      </c>
    </row>
    <row r="80" spans="1:10" ht="27" customHeight="1" x14ac:dyDescent="0.25">
      <c r="A80" s="124"/>
      <c r="B80" s="6" t="s">
        <v>1962</v>
      </c>
      <c r="C80" s="73" t="s">
        <v>1449</v>
      </c>
      <c r="D80" s="73" t="s">
        <v>1435</v>
      </c>
      <c r="E80" s="73" t="s">
        <v>273</v>
      </c>
      <c r="F80" s="73" t="s">
        <v>13</v>
      </c>
      <c r="G80" s="73" t="s">
        <v>627</v>
      </c>
      <c r="H80" s="9">
        <v>17400</v>
      </c>
      <c r="I80" s="8">
        <v>0.2</v>
      </c>
      <c r="J80" s="9">
        <f t="shared" si="1"/>
        <v>13920</v>
      </c>
    </row>
    <row r="81" spans="1:10" ht="27" customHeight="1" x14ac:dyDescent="0.25">
      <c r="A81" s="124"/>
      <c r="B81" s="6" t="s">
        <v>1963</v>
      </c>
      <c r="C81" s="73" t="s">
        <v>1449</v>
      </c>
      <c r="D81" s="73" t="s">
        <v>1435</v>
      </c>
      <c r="E81" s="73" t="s">
        <v>273</v>
      </c>
      <c r="F81" s="73" t="s">
        <v>13</v>
      </c>
      <c r="G81" s="73" t="s">
        <v>880</v>
      </c>
      <c r="H81" s="9">
        <v>18960</v>
      </c>
      <c r="I81" s="8">
        <v>0.2</v>
      </c>
      <c r="J81" s="9">
        <f t="shared" si="1"/>
        <v>15170</v>
      </c>
    </row>
    <row r="82" spans="1:10" ht="27" customHeight="1" x14ac:dyDescent="0.25">
      <c r="A82" s="124"/>
      <c r="B82" s="6" t="s">
        <v>1964</v>
      </c>
      <c r="C82" s="73" t="s">
        <v>1450</v>
      </c>
      <c r="D82" s="73" t="s">
        <v>1436</v>
      </c>
      <c r="E82" s="73" t="s">
        <v>273</v>
      </c>
      <c r="F82" s="73" t="s">
        <v>13</v>
      </c>
      <c r="G82" s="73" t="s">
        <v>880</v>
      </c>
      <c r="H82" s="9">
        <v>18960</v>
      </c>
      <c r="I82" s="8">
        <v>0.2</v>
      </c>
      <c r="J82" s="9">
        <f t="shared" si="1"/>
        <v>15170</v>
      </c>
    </row>
    <row r="83" spans="1:10" ht="20.100000000000001" customHeight="1" x14ac:dyDescent="0.25">
      <c r="A83" s="139" t="s">
        <v>74</v>
      </c>
      <c r="B83" s="139"/>
      <c r="C83" s="139"/>
      <c r="D83" s="139"/>
      <c r="E83" s="139"/>
      <c r="F83" s="139"/>
      <c r="G83" s="139"/>
      <c r="H83" s="139"/>
      <c r="I83" s="139"/>
      <c r="J83" s="139"/>
    </row>
    <row r="84" spans="1:10" ht="20.100000000000001" customHeight="1" x14ac:dyDescent="0.25">
      <c r="A84" s="135" t="s">
        <v>1018</v>
      </c>
      <c r="B84" s="136"/>
      <c r="C84" s="136"/>
      <c r="D84" s="136"/>
      <c r="E84" s="136"/>
      <c r="F84" s="136"/>
      <c r="G84" s="137"/>
      <c r="H84" s="9" t="s">
        <v>931</v>
      </c>
      <c r="I84" s="8" t="s">
        <v>222</v>
      </c>
      <c r="J84" s="9" t="s">
        <v>931</v>
      </c>
    </row>
    <row r="85" spans="1:10" ht="20.100000000000001" customHeight="1" x14ac:dyDescent="0.25">
      <c r="A85" s="143"/>
      <c r="B85" s="143"/>
      <c r="C85" s="143"/>
      <c r="D85" s="143"/>
      <c r="E85" s="143"/>
      <c r="F85" s="143"/>
      <c r="G85" s="143"/>
      <c r="H85" s="143"/>
      <c r="I85" s="143"/>
      <c r="J85" s="143"/>
    </row>
    <row r="86" spans="1:10" ht="39.950000000000003" customHeight="1" x14ac:dyDescent="0.25">
      <c r="A86" s="117" t="s">
        <v>1451</v>
      </c>
      <c r="B86" s="117"/>
      <c r="C86" s="117"/>
      <c r="D86" s="117"/>
      <c r="E86" s="117"/>
      <c r="F86" s="117"/>
      <c r="G86" s="117"/>
      <c r="H86" s="117"/>
      <c r="I86" s="117"/>
      <c r="J86" s="117"/>
    </row>
    <row r="87" spans="1:10" ht="30" customHeight="1" x14ac:dyDescent="0.25">
      <c r="A87" s="73"/>
      <c r="B87" s="39" t="s">
        <v>2</v>
      </c>
      <c r="C87" s="4" t="s">
        <v>48</v>
      </c>
      <c r="D87" s="4" t="s">
        <v>49</v>
      </c>
      <c r="E87" s="39" t="s">
        <v>9</v>
      </c>
      <c r="F87" s="39" t="s">
        <v>10</v>
      </c>
      <c r="G87" s="4" t="s">
        <v>11</v>
      </c>
      <c r="H87" s="4" t="s">
        <v>17</v>
      </c>
      <c r="I87" s="4" t="s">
        <v>12</v>
      </c>
      <c r="J87" s="4" t="s">
        <v>18</v>
      </c>
    </row>
    <row r="88" spans="1:10" ht="39.950000000000003" customHeight="1" x14ac:dyDescent="0.25">
      <c r="A88" s="124"/>
      <c r="B88" s="6" t="s">
        <v>1966</v>
      </c>
      <c r="C88" s="73" t="s">
        <v>1447</v>
      </c>
      <c r="D88" s="73" t="s">
        <v>1433</v>
      </c>
      <c r="E88" s="73" t="s">
        <v>273</v>
      </c>
      <c r="F88" s="73" t="s">
        <v>13</v>
      </c>
      <c r="G88" s="73" t="s">
        <v>626</v>
      </c>
      <c r="H88" s="9">
        <v>17280</v>
      </c>
      <c r="I88" s="8">
        <v>0.2</v>
      </c>
      <c r="J88" s="9">
        <f t="shared" ref="J88:J93" si="2">CEILING(H88*0.8,10)</f>
        <v>13830</v>
      </c>
    </row>
    <row r="89" spans="1:10" ht="39.950000000000003" customHeight="1" x14ac:dyDescent="0.25">
      <c r="A89" s="124"/>
      <c r="B89" s="6" t="s">
        <v>1967</v>
      </c>
      <c r="C89" s="73" t="s">
        <v>1448</v>
      </c>
      <c r="D89" s="73" t="s">
        <v>1434</v>
      </c>
      <c r="E89" s="73" t="s">
        <v>273</v>
      </c>
      <c r="F89" s="73" t="s">
        <v>13</v>
      </c>
      <c r="G89" s="73" t="s">
        <v>626</v>
      </c>
      <c r="H89" s="9">
        <v>17280</v>
      </c>
      <c r="I89" s="8">
        <v>0.2</v>
      </c>
      <c r="J89" s="9">
        <f t="shared" si="2"/>
        <v>13830</v>
      </c>
    </row>
    <row r="90" spans="1:10" ht="39.950000000000003" customHeight="1" x14ac:dyDescent="0.25">
      <c r="A90" s="124"/>
      <c r="B90" s="6" t="s">
        <v>1971</v>
      </c>
      <c r="C90" s="73" t="s">
        <v>1448</v>
      </c>
      <c r="D90" s="73" t="s">
        <v>1434</v>
      </c>
      <c r="E90" s="73" t="s">
        <v>273</v>
      </c>
      <c r="F90" s="73" t="s">
        <v>13</v>
      </c>
      <c r="G90" s="73" t="s">
        <v>997</v>
      </c>
      <c r="H90" s="9">
        <v>19500</v>
      </c>
      <c r="I90" s="8">
        <v>0.2</v>
      </c>
      <c r="J90" s="9">
        <f t="shared" si="2"/>
        <v>15600</v>
      </c>
    </row>
    <row r="91" spans="1:10" ht="39.950000000000003" customHeight="1" x14ac:dyDescent="0.25">
      <c r="A91" s="124"/>
      <c r="B91" s="6" t="s">
        <v>1968</v>
      </c>
      <c r="C91" s="73" t="s">
        <v>1449</v>
      </c>
      <c r="D91" s="73" t="s">
        <v>1435</v>
      </c>
      <c r="E91" s="73" t="s">
        <v>273</v>
      </c>
      <c r="F91" s="73" t="s">
        <v>13</v>
      </c>
      <c r="G91" s="73" t="s">
        <v>627</v>
      </c>
      <c r="H91" s="9">
        <v>23700</v>
      </c>
      <c r="I91" s="8">
        <v>0.2</v>
      </c>
      <c r="J91" s="9">
        <f t="shared" si="2"/>
        <v>18960</v>
      </c>
    </row>
    <row r="92" spans="1:10" ht="39.950000000000003" customHeight="1" x14ac:dyDescent="0.25">
      <c r="A92" s="124"/>
      <c r="B92" s="6" t="s">
        <v>1969</v>
      </c>
      <c r="C92" s="73" t="s">
        <v>1449</v>
      </c>
      <c r="D92" s="73" t="s">
        <v>1435</v>
      </c>
      <c r="E92" s="73" t="s">
        <v>273</v>
      </c>
      <c r="F92" s="73" t="s">
        <v>13</v>
      </c>
      <c r="G92" s="73" t="s">
        <v>880</v>
      </c>
      <c r="H92" s="9">
        <v>25560</v>
      </c>
      <c r="I92" s="8">
        <v>0.2</v>
      </c>
      <c r="J92" s="9">
        <f t="shared" si="2"/>
        <v>20450</v>
      </c>
    </row>
    <row r="93" spans="1:10" ht="39.950000000000003" customHeight="1" x14ac:dyDescent="0.25">
      <c r="A93" s="124"/>
      <c r="B93" s="6" t="s">
        <v>1970</v>
      </c>
      <c r="C93" s="73" t="s">
        <v>1450</v>
      </c>
      <c r="D93" s="73" t="s">
        <v>1436</v>
      </c>
      <c r="E93" s="73" t="s">
        <v>273</v>
      </c>
      <c r="F93" s="73" t="s">
        <v>13</v>
      </c>
      <c r="G93" s="73" t="s">
        <v>880</v>
      </c>
      <c r="H93" s="9">
        <v>25560</v>
      </c>
      <c r="I93" s="8">
        <v>0.2</v>
      </c>
      <c r="J93" s="9">
        <f t="shared" si="2"/>
        <v>20450</v>
      </c>
    </row>
    <row r="94" spans="1:10" ht="20.100000000000001" customHeight="1" x14ac:dyDescent="0.25">
      <c r="A94" s="139" t="s">
        <v>74</v>
      </c>
      <c r="B94" s="139"/>
      <c r="C94" s="139"/>
      <c r="D94" s="139"/>
      <c r="E94" s="139"/>
      <c r="F94" s="139"/>
      <c r="G94" s="139"/>
      <c r="H94" s="139"/>
      <c r="I94" s="139"/>
      <c r="J94" s="139"/>
    </row>
    <row r="95" spans="1:10" ht="20.100000000000001" customHeight="1" x14ac:dyDescent="0.25">
      <c r="A95" s="135" t="s">
        <v>1018</v>
      </c>
      <c r="B95" s="136"/>
      <c r="C95" s="136"/>
      <c r="D95" s="136"/>
      <c r="E95" s="136"/>
      <c r="F95" s="136"/>
      <c r="G95" s="137"/>
      <c r="H95" s="9" t="s">
        <v>931</v>
      </c>
      <c r="I95" s="8" t="s">
        <v>222</v>
      </c>
      <c r="J95" s="9" t="s">
        <v>931</v>
      </c>
    </row>
  </sheetData>
  <mergeCells count="41">
    <mergeCell ref="A12:J12"/>
    <mergeCell ref="A1:J1"/>
    <mergeCell ref="A3:A5"/>
    <mergeCell ref="A6:J6"/>
    <mergeCell ref="A7:J7"/>
    <mergeCell ref="A9:A11"/>
    <mergeCell ref="A45:J45"/>
    <mergeCell ref="A13:J13"/>
    <mergeCell ref="A15:A17"/>
    <mergeCell ref="A18:J18"/>
    <mergeCell ref="A19:J19"/>
    <mergeCell ref="A21:A24"/>
    <mergeCell ref="A25:J25"/>
    <mergeCell ref="A26:J26"/>
    <mergeCell ref="A28:A31"/>
    <mergeCell ref="A32:J32"/>
    <mergeCell ref="A40:J40"/>
    <mergeCell ref="A42:A44"/>
    <mergeCell ref="A33:J33"/>
    <mergeCell ref="A35:A38"/>
    <mergeCell ref="A39:J39"/>
    <mergeCell ref="A72:J72"/>
    <mergeCell ref="A46:J46"/>
    <mergeCell ref="A48:A50"/>
    <mergeCell ref="A51:J51"/>
    <mergeCell ref="A52:J52"/>
    <mergeCell ref="A54:A56"/>
    <mergeCell ref="A57:J57"/>
    <mergeCell ref="A58:J58"/>
    <mergeCell ref="A60:A68"/>
    <mergeCell ref="A69:J69"/>
    <mergeCell ref="A70:G70"/>
    <mergeCell ref="A71:J71"/>
    <mergeCell ref="A94:J94"/>
    <mergeCell ref="A95:G95"/>
    <mergeCell ref="A74:A82"/>
    <mergeCell ref="A83:J83"/>
    <mergeCell ref="A84:G84"/>
    <mergeCell ref="A85:J85"/>
    <mergeCell ref="A86:J86"/>
    <mergeCell ref="A88:A93"/>
  </mergeCells>
  <hyperlinks>
    <hyperlink ref="B3" r:id="rId1" display="MSC-05"/>
    <hyperlink ref="B4" r:id="rId2"/>
    <hyperlink ref="B5" r:id="rId3"/>
    <hyperlink ref="B10" r:id="rId4"/>
    <hyperlink ref="B9" r:id="rId5" display="MSC-05D"/>
    <hyperlink ref="B11" r:id="rId6"/>
    <hyperlink ref="B15" r:id="rId7" display="MS-05"/>
    <hyperlink ref="B16" r:id="rId8"/>
    <hyperlink ref="B17" r:id="rId9"/>
    <hyperlink ref="B21" r:id="rId10" display="MSWE-03"/>
    <hyperlink ref="B22" r:id="rId11" display="MSWE-06"/>
    <hyperlink ref="B23" r:id="rId12"/>
    <hyperlink ref="B24" r:id="rId13"/>
    <hyperlink ref="B28" r:id="rId14" display="MSWE-03D"/>
    <hyperlink ref="B30" r:id="rId15"/>
    <hyperlink ref="B29" r:id="rId16" display="MSWE-06D"/>
    <hyperlink ref="B31" r:id="rId17"/>
    <hyperlink ref="B42" r:id="rId18"/>
    <hyperlink ref="B43" r:id="rId19"/>
    <hyperlink ref="B44" r:id="rId20"/>
    <hyperlink ref="B49" r:id="rId21"/>
    <hyperlink ref="B48" r:id="rId22"/>
    <hyperlink ref="B50" r:id="rId23"/>
    <hyperlink ref="B54" r:id="rId24"/>
    <hyperlink ref="B55" r:id="rId25"/>
    <hyperlink ref="B56" r:id="rId26"/>
    <hyperlink ref="B61" r:id="rId27" display="PM1E-100"/>
    <hyperlink ref="B60" r:id="rId28" display="PM1E-100"/>
    <hyperlink ref="B62" r:id="rId29" display="PM1E-150"/>
    <hyperlink ref="B63" r:id="rId30" display="PM1E-150"/>
    <hyperlink ref="B65" r:id="rId31" display="PM1E-300"/>
    <hyperlink ref="B66" r:id="rId32" display="PM1E-300"/>
    <hyperlink ref="B67" r:id="rId33" display="PM1E-300"/>
    <hyperlink ref="B68" r:id="rId34" display="PM1E-500"/>
    <hyperlink ref="B74" r:id="rId35" display="PM1B-100"/>
    <hyperlink ref="B75" r:id="rId36" display="PM1B-100"/>
    <hyperlink ref="B76" r:id="rId37" display="PM1B-150"/>
    <hyperlink ref="B77" r:id="rId38" display="PM1B-150"/>
    <hyperlink ref="B78" r:id="rId39" display="PM1B-150"/>
    <hyperlink ref="B79" r:id="rId40" display="PM1B-300"/>
    <hyperlink ref="B80" r:id="rId41" display="PM1B-300"/>
    <hyperlink ref="B81" r:id="rId42" display="PM1B-300"/>
    <hyperlink ref="B82" r:id="rId43" display="PM1B-500"/>
    <hyperlink ref="B88" r:id="rId44" display="PM1H-100"/>
    <hyperlink ref="B89" r:id="rId45" display="PM1H-150"/>
    <hyperlink ref="B90" r:id="rId46" display="PM1H-150"/>
    <hyperlink ref="B91" r:id="rId47" display="PM1H-300"/>
    <hyperlink ref="B92" r:id="rId48" display="PM1H-300"/>
    <hyperlink ref="B93" r:id="rId49" display="PM1H-500"/>
    <hyperlink ref="B64" r:id="rId50" display="PM1E-150"/>
  </hyperlinks>
  <pageMargins left="0.7" right="0.7" top="0.75" bottom="0.75" header="0.3" footer="0.3"/>
  <pageSetup paperSize="9" orientation="portrait" r:id="rId51"/>
  <drawing r:id="rId5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="85" zoomScaleNormal="85" workbookViewId="0">
      <selection activeCell="M6" sqref="M6"/>
    </sheetView>
  </sheetViews>
  <sheetFormatPr defaultRowHeight="13.5" x14ac:dyDescent="0.25"/>
  <cols>
    <col min="1" max="1" width="23.28515625" style="1" customWidth="1"/>
    <col min="2" max="2" width="15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17" t="s">
        <v>1680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5"/>
      <c r="B2" s="3" t="s">
        <v>2</v>
      </c>
      <c r="C2" s="4" t="s">
        <v>48</v>
      </c>
      <c r="D2" s="4" t="s">
        <v>49</v>
      </c>
      <c r="E2" s="3" t="s">
        <v>9</v>
      </c>
      <c r="F2" s="3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60" customHeight="1" x14ac:dyDescent="0.25">
      <c r="A3" s="124"/>
      <c r="B3" s="6" t="s">
        <v>329</v>
      </c>
      <c r="C3" s="5" t="s">
        <v>51</v>
      </c>
      <c r="D3" s="5" t="s">
        <v>53</v>
      </c>
      <c r="E3" s="5" t="s">
        <v>14</v>
      </c>
      <c r="F3" s="5" t="s">
        <v>15</v>
      </c>
      <c r="G3" s="5" t="s">
        <v>16</v>
      </c>
      <c r="H3" s="9">
        <v>102950</v>
      </c>
      <c r="I3" s="8">
        <v>0.15</v>
      </c>
      <c r="J3" s="9">
        <f>CEILING(H3*0.85,10)</f>
        <v>87510</v>
      </c>
    </row>
    <row r="4" spans="1:10" ht="60" customHeight="1" x14ac:dyDescent="0.25">
      <c r="A4" s="124"/>
      <c r="B4" s="6" t="s">
        <v>330</v>
      </c>
      <c r="C4" s="5" t="s">
        <v>52</v>
      </c>
      <c r="D4" s="5" t="s">
        <v>53</v>
      </c>
      <c r="E4" s="5" t="s">
        <v>14</v>
      </c>
      <c r="F4" s="5" t="s">
        <v>15</v>
      </c>
      <c r="G4" s="5" t="s">
        <v>16</v>
      </c>
      <c r="H4" s="9">
        <v>107240</v>
      </c>
      <c r="I4" s="8">
        <v>0.15</v>
      </c>
      <c r="J4" s="9">
        <f>CEILING(H4*0.85,10)</f>
        <v>91160</v>
      </c>
    </row>
    <row r="5" spans="1:10" ht="20.100000000000001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</row>
    <row r="6" spans="1:10" ht="39.950000000000003" customHeight="1" x14ac:dyDescent="0.25">
      <c r="A6" s="117" t="s">
        <v>1681</v>
      </c>
      <c r="B6" s="118"/>
      <c r="C6" s="118"/>
      <c r="D6" s="118"/>
      <c r="E6" s="118"/>
      <c r="F6" s="118"/>
      <c r="G6" s="118"/>
      <c r="H6" s="118"/>
      <c r="I6" s="118"/>
      <c r="J6" s="118"/>
    </row>
    <row r="7" spans="1:10" ht="30" customHeight="1" x14ac:dyDescent="0.25">
      <c r="A7" s="5"/>
      <c r="B7" s="3" t="s">
        <v>2</v>
      </c>
      <c r="C7" s="4" t="s">
        <v>48</v>
      </c>
      <c r="D7" s="4" t="s">
        <v>49</v>
      </c>
      <c r="E7" s="3" t="s">
        <v>9</v>
      </c>
      <c r="F7" s="3" t="s">
        <v>10</v>
      </c>
      <c r="G7" s="4" t="s">
        <v>11</v>
      </c>
      <c r="H7" s="4" t="s">
        <v>17</v>
      </c>
      <c r="I7" s="4" t="s">
        <v>12</v>
      </c>
      <c r="J7" s="4" t="s">
        <v>18</v>
      </c>
    </row>
    <row r="8" spans="1:10" ht="30" customHeight="1" x14ac:dyDescent="0.25">
      <c r="A8" s="124"/>
      <c r="B8" s="6" t="s">
        <v>331</v>
      </c>
      <c r="C8" s="5" t="s">
        <v>232</v>
      </c>
      <c r="D8" s="5" t="s">
        <v>54</v>
      </c>
      <c r="E8" s="5" t="s">
        <v>31</v>
      </c>
      <c r="F8" s="5" t="s">
        <v>15</v>
      </c>
      <c r="G8" s="5" t="s">
        <v>345</v>
      </c>
      <c r="H8" s="7">
        <v>83320</v>
      </c>
      <c r="I8" s="8">
        <v>0.15</v>
      </c>
      <c r="J8" s="9">
        <f>CEILING(H8*0.85,10)</f>
        <v>70830</v>
      </c>
    </row>
    <row r="9" spans="1:10" ht="30" customHeight="1" x14ac:dyDescent="0.25">
      <c r="A9" s="124"/>
      <c r="B9" s="6" t="s">
        <v>332</v>
      </c>
      <c r="C9" s="5" t="s">
        <v>58</v>
      </c>
      <c r="D9" s="5" t="s">
        <v>54</v>
      </c>
      <c r="E9" s="5" t="s">
        <v>31</v>
      </c>
      <c r="F9" s="5" t="s">
        <v>15</v>
      </c>
      <c r="G9" s="5" t="s">
        <v>345</v>
      </c>
      <c r="H9" s="7">
        <v>85090</v>
      </c>
      <c r="I9" s="8">
        <v>0.15</v>
      </c>
      <c r="J9" s="9">
        <f t="shared" ref="J9:J19" si="0">CEILING(H9*0.85,10)</f>
        <v>72330</v>
      </c>
    </row>
    <row r="10" spans="1:10" ht="30" customHeight="1" x14ac:dyDescent="0.25">
      <c r="A10" s="124"/>
      <c r="B10" s="6" t="s">
        <v>333</v>
      </c>
      <c r="C10" s="5" t="s">
        <v>59</v>
      </c>
      <c r="D10" s="5" t="s">
        <v>54</v>
      </c>
      <c r="E10" s="5" t="s">
        <v>31</v>
      </c>
      <c r="F10" s="5" t="s">
        <v>15</v>
      </c>
      <c r="G10" s="5" t="s">
        <v>345</v>
      </c>
      <c r="H10" s="7">
        <v>86860</v>
      </c>
      <c r="I10" s="8">
        <v>0.15</v>
      </c>
      <c r="J10" s="9">
        <f t="shared" si="0"/>
        <v>73840</v>
      </c>
    </row>
    <row r="11" spans="1:10" ht="30" customHeight="1" x14ac:dyDescent="0.25">
      <c r="A11" s="124"/>
      <c r="B11" s="6" t="s">
        <v>334</v>
      </c>
      <c r="C11" s="5" t="s">
        <v>103</v>
      </c>
      <c r="D11" s="5" t="s">
        <v>54</v>
      </c>
      <c r="E11" s="5" t="s">
        <v>31</v>
      </c>
      <c r="F11" s="5" t="s">
        <v>15</v>
      </c>
      <c r="G11" s="5" t="s">
        <v>345</v>
      </c>
      <c r="H11" s="7">
        <v>88630</v>
      </c>
      <c r="I11" s="8">
        <v>0.15</v>
      </c>
      <c r="J11" s="9">
        <f t="shared" si="0"/>
        <v>75340</v>
      </c>
    </row>
    <row r="12" spans="1:10" ht="30" customHeight="1" x14ac:dyDescent="0.25">
      <c r="A12" s="124"/>
      <c r="B12" s="6" t="s">
        <v>335</v>
      </c>
      <c r="C12" s="5" t="s">
        <v>185</v>
      </c>
      <c r="D12" s="5" t="s">
        <v>55</v>
      </c>
      <c r="E12" s="5" t="s">
        <v>31</v>
      </c>
      <c r="F12" s="5" t="s">
        <v>15</v>
      </c>
      <c r="G12" s="5" t="s">
        <v>345</v>
      </c>
      <c r="H12" s="7">
        <v>60380</v>
      </c>
      <c r="I12" s="8">
        <v>0.15</v>
      </c>
      <c r="J12" s="9">
        <f t="shared" si="0"/>
        <v>51330</v>
      </c>
    </row>
    <row r="13" spans="1:10" ht="30" customHeight="1" x14ac:dyDescent="0.25">
      <c r="A13" s="124"/>
      <c r="B13" s="6" t="s">
        <v>336</v>
      </c>
      <c r="C13" s="5" t="s">
        <v>343</v>
      </c>
      <c r="D13" s="5" t="s">
        <v>55</v>
      </c>
      <c r="E13" s="5" t="s">
        <v>31</v>
      </c>
      <c r="F13" s="5" t="s">
        <v>15</v>
      </c>
      <c r="G13" s="5" t="s">
        <v>345</v>
      </c>
      <c r="H13" s="7">
        <v>62250</v>
      </c>
      <c r="I13" s="8">
        <v>0.15</v>
      </c>
      <c r="J13" s="9">
        <f t="shared" si="0"/>
        <v>52920</v>
      </c>
    </row>
    <row r="14" spans="1:10" ht="30" customHeight="1" x14ac:dyDescent="0.25">
      <c r="A14" s="124"/>
      <c r="B14" s="6" t="s">
        <v>337</v>
      </c>
      <c r="C14" s="5" t="s">
        <v>186</v>
      </c>
      <c r="D14" s="5" t="s">
        <v>55</v>
      </c>
      <c r="E14" s="5" t="s">
        <v>31</v>
      </c>
      <c r="F14" s="5" t="s">
        <v>15</v>
      </c>
      <c r="G14" s="5" t="s">
        <v>346</v>
      </c>
      <c r="H14" s="7">
        <v>83170</v>
      </c>
      <c r="I14" s="8">
        <v>0.15</v>
      </c>
      <c r="J14" s="9">
        <f t="shared" si="0"/>
        <v>70700</v>
      </c>
    </row>
    <row r="15" spans="1:10" ht="30" customHeight="1" x14ac:dyDescent="0.25">
      <c r="A15" s="124"/>
      <c r="B15" s="6" t="s">
        <v>338</v>
      </c>
      <c r="C15" s="5" t="s">
        <v>64</v>
      </c>
      <c r="D15" s="5" t="s">
        <v>55</v>
      </c>
      <c r="E15" s="5" t="s">
        <v>31</v>
      </c>
      <c r="F15" s="5" t="s">
        <v>15</v>
      </c>
      <c r="G15" s="5" t="s">
        <v>346</v>
      </c>
      <c r="H15" s="7">
        <v>84860</v>
      </c>
      <c r="I15" s="8">
        <v>0.15</v>
      </c>
      <c r="J15" s="9">
        <f t="shared" si="0"/>
        <v>72140</v>
      </c>
    </row>
    <row r="16" spans="1:10" ht="30" customHeight="1" x14ac:dyDescent="0.25">
      <c r="A16" s="124"/>
      <c r="B16" s="6" t="s">
        <v>339</v>
      </c>
      <c r="C16" s="5" t="s">
        <v>106</v>
      </c>
      <c r="D16" s="5" t="s">
        <v>55</v>
      </c>
      <c r="E16" s="5" t="s">
        <v>31</v>
      </c>
      <c r="F16" s="5" t="s">
        <v>15</v>
      </c>
      <c r="G16" s="5" t="s">
        <v>346</v>
      </c>
      <c r="H16" s="7">
        <v>86630</v>
      </c>
      <c r="I16" s="8">
        <v>0.15</v>
      </c>
      <c r="J16" s="9">
        <f t="shared" si="0"/>
        <v>73640</v>
      </c>
    </row>
    <row r="17" spans="1:10" ht="30" customHeight="1" x14ac:dyDescent="0.25">
      <c r="A17" s="124"/>
      <c r="B17" s="6" t="s">
        <v>342</v>
      </c>
      <c r="C17" s="5" t="s">
        <v>107</v>
      </c>
      <c r="D17" s="5" t="s">
        <v>55</v>
      </c>
      <c r="E17" s="5" t="s">
        <v>31</v>
      </c>
      <c r="F17" s="5" t="s">
        <v>15</v>
      </c>
      <c r="G17" s="5" t="s">
        <v>346</v>
      </c>
      <c r="H17" s="7">
        <v>88400</v>
      </c>
      <c r="I17" s="8">
        <v>0.15</v>
      </c>
      <c r="J17" s="9">
        <f t="shared" si="0"/>
        <v>75140</v>
      </c>
    </row>
    <row r="18" spans="1:10" ht="30" customHeight="1" x14ac:dyDescent="0.25">
      <c r="A18" s="124"/>
      <c r="B18" s="6" t="s">
        <v>340</v>
      </c>
      <c r="C18" s="5" t="s">
        <v>67</v>
      </c>
      <c r="D18" s="5" t="s">
        <v>56</v>
      </c>
      <c r="E18" s="5" t="s">
        <v>31</v>
      </c>
      <c r="F18" s="5" t="s">
        <v>15</v>
      </c>
      <c r="G18" s="5" t="s">
        <v>346</v>
      </c>
      <c r="H18" s="7">
        <v>81280</v>
      </c>
      <c r="I18" s="8">
        <v>0.15</v>
      </c>
      <c r="J18" s="9">
        <f t="shared" si="0"/>
        <v>69090</v>
      </c>
    </row>
    <row r="19" spans="1:10" ht="30" customHeight="1" x14ac:dyDescent="0.25">
      <c r="A19" s="124"/>
      <c r="B19" s="6" t="s">
        <v>341</v>
      </c>
      <c r="C19" s="5" t="s">
        <v>344</v>
      </c>
      <c r="D19" s="5" t="s">
        <v>56</v>
      </c>
      <c r="E19" s="5" t="s">
        <v>31</v>
      </c>
      <c r="F19" s="5" t="s">
        <v>15</v>
      </c>
      <c r="G19" s="5" t="s">
        <v>346</v>
      </c>
      <c r="H19" s="7">
        <v>83790</v>
      </c>
      <c r="I19" s="8">
        <v>0.15</v>
      </c>
      <c r="J19" s="9">
        <f t="shared" si="0"/>
        <v>71230</v>
      </c>
    </row>
  </sheetData>
  <mergeCells count="5">
    <mergeCell ref="A5:J5"/>
    <mergeCell ref="A6:J6"/>
    <mergeCell ref="A8:A19"/>
    <mergeCell ref="A1:J1"/>
    <mergeCell ref="A3:A4"/>
  </mergeCells>
  <hyperlinks>
    <hyperlink ref="B3" r:id="rId1"/>
    <hyperlink ref="B4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8" r:id="rId12"/>
    <hyperlink ref="B19" r:id="rId13"/>
    <hyperlink ref="B17" r:id="rId14"/>
  </hyperlinks>
  <pageMargins left="0.7" right="0.7" top="0.75" bottom="0.75" header="0.3" footer="0.3"/>
  <pageSetup paperSize="9" orientation="portrait" r:id="rId15"/>
  <drawing r:id="rId1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90" zoomScaleNormal="90" workbookViewId="0">
      <selection activeCell="C3" sqref="C3"/>
    </sheetView>
  </sheetViews>
  <sheetFormatPr defaultRowHeight="13.5" x14ac:dyDescent="0.25"/>
  <cols>
    <col min="1" max="1" width="23.28515625" style="1" customWidth="1"/>
    <col min="2" max="2" width="15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9.950000000000003" customHeight="1" x14ac:dyDescent="0.25">
      <c r="A1" s="129" t="s">
        <v>1682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ht="30" customHeight="1" x14ac:dyDescent="0.25">
      <c r="A2" s="36"/>
      <c r="B2" s="37" t="s">
        <v>2</v>
      </c>
      <c r="C2" s="4" t="s">
        <v>48</v>
      </c>
      <c r="D2" s="4" t="s">
        <v>49</v>
      </c>
      <c r="E2" s="37" t="s">
        <v>9</v>
      </c>
      <c r="F2" s="37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24.95" customHeight="1" x14ac:dyDescent="0.25">
      <c r="A3" s="124"/>
      <c r="B3" s="6" t="s">
        <v>313</v>
      </c>
      <c r="C3" s="36" t="s">
        <v>232</v>
      </c>
      <c r="D3" s="36" t="s">
        <v>54</v>
      </c>
      <c r="E3" s="41" t="s">
        <v>1070</v>
      </c>
      <c r="F3" s="36" t="s">
        <v>13</v>
      </c>
      <c r="G3" s="36" t="s">
        <v>296</v>
      </c>
      <c r="H3" s="25">
        <v>25200</v>
      </c>
      <c r="I3" s="8">
        <v>0.2</v>
      </c>
      <c r="J3" s="9">
        <f>CEILING(H3*0.8,10)</f>
        <v>20160</v>
      </c>
    </row>
    <row r="4" spans="1:10" ht="24.95" customHeight="1" x14ac:dyDescent="0.25">
      <c r="A4" s="124"/>
      <c r="B4" s="6" t="s">
        <v>314</v>
      </c>
      <c r="C4" s="36" t="s">
        <v>290</v>
      </c>
      <c r="D4" s="36" t="s">
        <v>54</v>
      </c>
      <c r="E4" s="41" t="s">
        <v>1070</v>
      </c>
      <c r="F4" s="36" t="s">
        <v>13</v>
      </c>
      <c r="G4" s="36" t="s">
        <v>296</v>
      </c>
      <c r="H4" s="25">
        <v>26400</v>
      </c>
      <c r="I4" s="8">
        <v>0.2</v>
      </c>
      <c r="J4" s="9">
        <f t="shared" ref="J4:J19" si="0">CEILING(H4*0.8,10)</f>
        <v>21120</v>
      </c>
    </row>
    <row r="5" spans="1:10" ht="24.95" customHeight="1" x14ac:dyDescent="0.25">
      <c r="A5" s="124"/>
      <c r="B5" s="6" t="s">
        <v>315</v>
      </c>
      <c r="C5" s="36" t="s">
        <v>291</v>
      </c>
      <c r="D5" s="36" t="s">
        <v>54</v>
      </c>
      <c r="E5" s="41" t="s">
        <v>1070</v>
      </c>
      <c r="F5" s="36" t="s">
        <v>13</v>
      </c>
      <c r="G5" s="36" t="s">
        <v>296</v>
      </c>
      <c r="H5" s="25">
        <v>27600</v>
      </c>
      <c r="I5" s="8">
        <v>0.2</v>
      </c>
      <c r="J5" s="9">
        <f t="shared" si="0"/>
        <v>22080</v>
      </c>
    </row>
    <row r="6" spans="1:10" ht="24.95" customHeight="1" x14ac:dyDescent="0.25">
      <c r="A6" s="124"/>
      <c r="B6" s="6" t="s">
        <v>316</v>
      </c>
      <c r="C6" s="36" t="s">
        <v>292</v>
      </c>
      <c r="D6" s="36" t="s">
        <v>294</v>
      </c>
      <c r="E6" s="41" t="s">
        <v>1070</v>
      </c>
      <c r="F6" s="36" t="s">
        <v>13</v>
      </c>
      <c r="G6" s="36" t="s">
        <v>296</v>
      </c>
      <c r="H6" s="25">
        <v>28800</v>
      </c>
      <c r="I6" s="8">
        <v>0.2</v>
      </c>
      <c r="J6" s="9">
        <f t="shared" si="0"/>
        <v>23040</v>
      </c>
    </row>
    <row r="7" spans="1:10" ht="24.95" customHeight="1" x14ac:dyDescent="0.25">
      <c r="A7" s="124"/>
      <c r="B7" s="6" t="s">
        <v>317</v>
      </c>
      <c r="C7" s="36" t="s">
        <v>60</v>
      </c>
      <c r="D7" s="36" t="s">
        <v>55</v>
      </c>
      <c r="E7" s="41" t="s">
        <v>1070</v>
      </c>
      <c r="F7" s="36" t="s">
        <v>13</v>
      </c>
      <c r="G7" s="36" t="s">
        <v>296</v>
      </c>
      <c r="H7" s="25">
        <v>21600</v>
      </c>
      <c r="I7" s="8">
        <v>0.2</v>
      </c>
      <c r="J7" s="9">
        <f t="shared" si="0"/>
        <v>17280</v>
      </c>
    </row>
    <row r="8" spans="1:10" ht="24.95" customHeight="1" x14ac:dyDescent="0.25">
      <c r="A8" s="124"/>
      <c r="B8" s="6" t="s">
        <v>318</v>
      </c>
      <c r="C8" s="36" t="s">
        <v>186</v>
      </c>
      <c r="D8" s="36" t="s">
        <v>55</v>
      </c>
      <c r="E8" s="41" t="s">
        <v>1070</v>
      </c>
      <c r="F8" s="36" t="s">
        <v>13</v>
      </c>
      <c r="G8" s="36" t="s">
        <v>311</v>
      </c>
      <c r="H8" s="25">
        <v>26400</v>
      </c>
      <c r="I8" s="8">
        <v>0.2</v>
      </c>
      <c r="J8" s="9">
        <f t="shared" si="0"/>
        <v>21120</v>
      </c>
    </row>
    <row r="9" spans="1:10" ht="24.95" customHeight="1" x14ac:dyDescent="0.25">
      <c r="A9" s="124"/>
      <c r="B9" s="6" t="s">
        <v>319</v>
      </c>
      <c r="C9" s="36" t="s">
        <v>64</v>
      </c>
      <c r="D9" s="36" t="s">
        <v>55</v>
      </c>
      <c r="E9" s="41" t="s">
        <v>1070</v>
      </c>
      <c r="F9" s="36" t="s">
        <v>13</v>
      </c>
      <c r="G9" s="36" t="s">
        <v>311</v>
      </c>
      <c r="H9" s="25">
        <v>26400</v>
      </c>
      <c r="I9" s="8">
        <v>0.2</v>
      </c>
      <c r="J9" s="9">
        <f t="shared" si="0"/>
        <v>21120</v>
      </c>
    </row>
    <row r="10" spans="1:10" ht="24.95" customHeight="1" x14ac:dyDescent="0.25">
      <c r="A10" s="124"/>
      <c r="B10" s="6" t="s">
        <v>320</v>
      </c>
      <c r="C10" s="36" t="s">
        <v>218</v>
      </c>
      <c r="D10" s="36" t="s">
        <v>56</v>
      </c>
      <c r="E10" s="41" t="s">
        <v>1070</v>
      </c>
      <c r="F10" s="36" t="s">
        <v>13</v>
      </c>
      <c r="G10" s="36" t="s">
        <v>311</v>
      </c>
      <c r="H10" s="30">
        <v>22800</v>
      </c>
      <c r="I10" s="8">
        <v>0.2</v>
      </c>
      <c r="J10" s="9">
        <f t="shared" si="0"/>
        <v>18240</v>
      </c>
    </row>
    <row r="11" spans="1:10" ht="24.95" customHeight="1" x14ac:dyDescent="0.25">
      <c r="A11" s="124"/>
      <c r="B11" s="6" t="s">
        <v>321</v>
      </c>
      <c r="C11" s="36" t="s">
        <v>67</v>
      </c>
      <c r="D11" s="36" t="s">
        <v>56</v>
      </c>
      <c r="E11" s="41" t="s">
        <v>1070</v>
      </c>
      <c r="F11" s="36" t="s">
        <v>13</v>
      </c>
      <c r="G11" s="36" t="s">
        <v>312</v>
      </c>
      <c r="H11" s="9">
        <v>54000</v>
      </c>
      <c r="I11" s="8">
        <v>0.2</v>
      </c>
      <c r="J11" s="9">
        <f>CEILING(H11*0.8,10)</f>
        <v>43200</v>
      </c>
    </row>
    <row r="12" spans="1:10" ht="24.95" customHeight="1" x14ac:dyDescent="0.25">
      <c r="A12" s="124"/>
      <c r="B12" s="6" t="s">
        <v>322</v>
      </c>
      <c r="C12" s="36" t="s">
        <v>109</v>
      </c>
      <c r="D12" s="36" t="s">
        <v>56</v>
      </c>
      <c r="E12" s="41" t="s">
        <v>1070</v>
      </c>
      <c r="F12" s="36" t="s">
        <v>13</v>
      </c>
      <c r="G12" s="36" t="s">
        <v>312</v>
      </c>
      <c r="H12" s="9">
        <v>57600</v>
      </c>
      <c r="I12" s="8">
        <v>0.2</v>
      </c>
      <c r="J12" s="9">
        <f t="shared" si="0"/>
        <v>46080</v>
      </c>
    </row>
    <row r="13" spans="1:10" ht="24.95" customHeight="1" x14ac:dyDescent="0.25">
      <c r="A13" s="124"/>
      <c r="B13" s="6" t="s">
        <v>323</v>
      </c>
      <c r="C13" s="36" t="s">
        <v>310</v>
      </c>
      <c r="D13" s="36" t="s">
        <v>56</v>
      </c>
      <c r="E13" s="41" t="s">
        <v>1070</v>
      </c>
      <c r="F13" s="36" t="s">
        <v>13</v>
      </c>
      <c r="G13" s="36" t="s">
        <v>312</v>
      </c>
      <c r="H13" s="9">
        <v>66000</v>
      </c>
      <c r="I13" s="8">
        <v>0.2</v>
      </c>
      <c r="J13" s="9">
        <f t="shared" si="0"/>
        <v>52800</v>
      </c>
    </row>
    <row r="14" spans="1:10" ht="24.95" customHeight="1" x14ac:dyDescent="0.25">
      <c r="A14" s="124"/>
      <c r="B14" s="88" t="s">
        <v>1869</v>
      </c>
      <c r="C14" s="86" t="s">
        <v>310</v>
      </c>
      <c r="D14" s="86" t="s">
        <v>56</v>
      </c>
      <c r="E14" s="86" t="s">
        <v>1070</v>
      </c>
      <c r="F14" s="86" t="s">
        <v>13</v>
      </c>
      <c r="G14" s="86" t="s">
        <v>312</v>
      </c>
      <c r="H14" s="9">
        <v>70800</v>
      </c>
      <c r="I14" s="8">
        <v>0.2</v>
      </c>
      <c r="J14" s="9">
        <f t="shared" si="0"/>
        <v>56640</v>
      </c>
    </row>
    <row r="15" spans="1:10" ht="24.95" customHeight="1" x14ac:dyDescent="0.25">
      <c r="A15" s="124"/>
      <c r="B15" s="6" t="s">
        <v>324</v>
      </c>
      <c r="C15" s="36" t="s">
        <v>232</v>
      </c>
      <c r="D15" s="36" t="s">
        <v>54</v>
      </c>
      <c r="E15" s="41" t="s">
        <v>1070</v>
      </c>
      <c r="F15" s="36" t="s">
        <v>15</v>
      </c>
      <c r="G15" s="36" t="s">
        <v>296</v>
      </c>
      <c r="H15" s="9">
        <v>33600</v>
      </c>
      <c r="I15" s="8">
        <v>0.2</v>
      </c>
      <c r="J15" s="9">
        <f t="shared" si="0"/>
        <v>26880</v>
      </c>
    </row>
    <row r="16" spans="1:10" ht="24.95" customHeight="1" x14ac:dyDescent="0.25">
      <c r="A16" s="124"/>
      <c r="B16" s="6" t="s">
        <v>325</v>
      </c>
      <c r="C16" s="36" t="s">
        <v>290</v>
      </c>
      <c r="D16" s="36" t="s">
        <v>54</v>
      </c>
      <c r="E16" s="41" t="s">
        <v>1070</v>
      </c>
      <c r="F16" s="36" t="s">
        <v>15</v>
      </c>
      <c r="G16" s="36" t="s">
        <v>296</v>
      </c>
      <c r="H16" s="9">
        <v>34800</v>
      </c>
      <c r="I16" s="8">
        <v>0.2</v>
      </c>
      <c r="J16" s="9">
        <f t="shared" si="0"/>
        <v>27840</v>
      </c>
    </row>
    <row r="17" spans="1:10" ht="24.95" customHeight="1" x14ac:dyDescent="0.25">
      <c r="A17" s="124"/>
      <c r="B17" s="6" t="s">
        <v>326</v>
      </c>
      <c r="C17" s="36" t="s">
        <v>291</v>
      </c>
      <c r="D17" s="36" t="s">
        <v>54</v>
      </c>
      <c r="E17" s="41" t="s">
        <v>1070</v>
      </c>
      <c r="F17" s="36" t="s">
        <v>15</v>
      </c>
      <c r="G17" s="36" t="s">
        <v>296</v>
      </c>
      <c r="H17" s="9">
        <v>37200</v>
      </c>
      <c r="I17" s="8">
        <v>0.2</v>
      </c>
      <c r="J17" s="9">
        <f t="shared" si="0"/>
        <v>29760</v>
      </c>
    </row>
    <row r="18" spans="1:10" ht="24.95" customHeight="1" x14ac:dyDescent="0.25">
      <c r="A18" s="124"/>
      <c r="B18" s="6" t="s">
        <v>327</v>
      </c>
      <c r="C18" s="36" t="s">
        <v>292</v>
      </c>
      <c r="D18" s="36" t="s">
        <v>294</v>
      </c>
      <c r="E18" s="41" t="s">
        <v>1070</v>
      </c>
      <c r="F18" s="36" t="s">
        <v>15</v>
      </c>
      <c r="G18" s="36" t="s">
        <v>296</v>
      </c>
      <c r="H18" s="9">
        <v>37200</v>
      </c>
      <c r="I18" s="8">
        <v>0.2</v>
      </c>
      <c r="J18" s="9">
        <f t="shared" si="0"/>
        <v>29760</v>
      </c>
    </row>
    <row r="19" spans="1:10" ht="24.95" customHeight="1" x14ac:dyDescent="0.25">
      <c r="A19" s="124"/>
      <c r="B19" s="6" t="s">
        <v>328</v>
      </c>
      <c r="C19" s="36" t="s">
        <v>60</v>
      </c>
      <c r="D19" s="36" t="s">
        <v>55</v>
      </c>
      <c r="E19" s="41" t="s">
        <v>1070</v>
      </c>
      <c r="F19" s="36" t="s">
        <v>15</v>
      </c>
      <c r="G19" s="36" t="s">
        <v>296</v>
      </c>
      <c r="H19" s="9">
        <v>28800</v>
      </c>
      <c r="I19" s="8">
        <v>0.2</v>
      </c>
      <c r="J19" s="9">
        <f t="shared" si="0"/>
        <v>23040</v>
      </c>
    </row>
    <row r="20" spans="1:10" ht="20.100000000000001" customHeight="1" x14ac:dyDescent="0.25">
      <c r="A20" s="131"/>
      <c r="B20" s="131"/>
      <c r="C20" s="131"/>
      <c r="D20" s="131"/>
      <c r="E20" s="131"/>
      <c r="F20" s="131"/>
      <c r="G20" s="131"/>
      <c r="H20" s="131"/>
      <c r="I20" s="131"/>
      <c r="J20" s="131"/>
    </row>
    <row r="21" spans="1:10" ht="39.950000000000003" customHeight="1" x14ac:dyDescent="0.25">
      <c r="A21" s="129" t="s">
        <v>1683</v>
      </c>
      <c r="B21" s="130"/>
      <c r="C21" s="130"/>
      <c r="D21" s="130"/>
      <c r="E21" s="130"/>
      <c r="F21" s="130"/>
      <c r="G21" s="130"/>
      <c r="H21" s="130"/>
      <c r="I21" s="130"/>
      <c r="J21" s="130"/>
    </row>
    <row r="22" spans="1:10" ht="30" customHeight="1" x14ac:dyDescent="0.25">
      <c r="A22" s="36"/>
      <c r="B22" s="37" t="s">
        <v>2</v>
      </c>
      <c r="C22" s="4" t="s">
        <v>48</v>
      </c>
      <c r="D22" s="4" t="s">
        <v>49</v>
      </c>
      <c r="E22" s="37" t="s">
        <v>9</v>
      </c>
      <c r="F22" s="37" t="s">
        <v>10</v>
      </c>
      <c r="G22" s="4" t="s">
        <v>11</v>
      </c>
      <c r="H22" s="4" t="s">
        <v>17</v>
      </c>
      <c r="I22" s="4" t="s">
        <v>12</v>
      </c>
      <c r="J22" s="4" t="s">
        <v>18</v>
      </c>
    </row>
    <row r="23" spans="1:10" ht="39.950000000000003" customHeight="1" x14ac:dyDescent="0.25">
      <c r="A23" s="124"/>
      <c r="B23" s="6" t="s">
        <v>299</v>
      </c>
      <c r="C23" s="36" t="s">
        <v>232</v>
      </c>
      <c r="D23" s="36" t="s">
        <v>54</v>
      </c>
      <c r="E23" s="36" t="s">
        <v>31</v>
      </c>
      <c r="F23" s="36" t="s">
        <v>15</v>
      </c>
      <c r="G23" s="36" t="s">
        <v>296</v>
      </c>
      <c r="H23" s="9">
        <v>33600</v>
      </c>
      <c r="I23" s="8">
        <v>0.2</v>
      </c>
      <c r="J23" s="9">
        <f>CEILING(H23*0.8,10)</f>
        <v>26880</v>
      </c>
    </row>
    <row r="24" spans="1:10" ht="39.950000000000003" customHeight="1" x14ac:dyDescent="0.25">
      <c r="A24" s="124"/>
      <c r="B24" s="6" t="s">
        <v>300</v>
      </c>
      <c r="C24" s="36" t="s">
        <v>290</v>
      </c>
      <c r="D24" s="36" t="s">
        <v>54</v>
      </c>
      <c r="E24" s="36" t="s">
        <v>31</v>
      </c>
      <c r="F24" s="36" t="s">
        <v>15</v>
      </c>
      <c r="G24" s="36" t="s">
        <v>296</v>
      </c>
      <c r="H24" s="9">
        <v>34800</v>
      </c>
      <c r="I24" s="8">
        <v>0.2</v>
      </c>
      <c r="J24" s="9">
        <f t="shared" ref="J24:J33" si="1">CEILING(H24*0.8,10)</f>
        <v>27840</v>
      </c>
    </row>
    <row r="25" spans="1:10" ht="39.950000000000003" customHeight="1" x14ac:dyDescent="0.25">
      <c r="A25" s="124"/>
      <c r="B25" s="6" t="s">
        <v>301</v>
      </c>
      <c r="C25" s="36" t="s">
        <v>291</v>
      </c>
      <c r="D25" s="36" t="s">
        <v>54</v>
      </c>
      <c r="E25" s="36" t="s">
        <v>31</v>
      </c>
      <c r="F25" s="36" t="s">
        <v>15</v>
      </c>
      <c r="G25" s="36" t="s">
        <v>296</v>
      </c>
      <c r="H25" s="9">
        <v>37200</v>
      </c>
      <c r="I25" s="8">
        <v>0.2</v>
      </c>
      <c r="J25" s="9">
        <f t="shared" si="1"/>
        <v>29760</v>
      </c>
    </row>
    <row r="26" spans="1:10" ht="39.950000000000003" customHeight="1" x14ac:dyDescent="0.25">
      <c r="A26" s="124"/>
      <c r="B26" s="6" t="s">
        <v>302</v>
      </c>
      <c r="C26" s="36" t="s">
        <v>292</v>
      </c>
      <c r="D26" s="36" t="s">
        <v>294</v>
      </c>
      <c r="E26" s="36" t="s">
        <v>31</v>
      </c>
      <c r="F26" s="36" t="s">
        <v>15</v>
      </c>
      <c r="G26" s="36" t="s">
        <v>296</v>
      </c>
      <c r="H26" s="9">
        <v>37200</v>
      </c>
      <c r="I26" s="8">
        <v>0.2</v>
      </c>
      <c r="J26" s="9">
        <f t="shared" si="1"/>
        <v>29760</v>
      </c>
    </row>
    <row r="27" spans="1:10" ht="39.950000000000003" customHeight="1" x14ac:dyDescent="0.25">
      <c r="A27" s="124"/>
      <c r="B27" s="6" t="s">
        <v>303</v>
      </c>
      <c r="C27" s="36" t="s">
        <v>60</v>
      </c>
      <c r="D27" s="36" t="s">
        <v>55</v>
      </c>
      <c r="E27" s="36" t="s">
        <v>31</v>
      </c>
      <c r="F27" s="36" t="s">
        <v>15</v>
      </c>
      <c r="G27" s="36" t="s">
        <v>296</v>
      </c>
      <c r="H27" s="9">
        <v>28800</v>
      </c>
      <c r="I27" s="8">
        <v>0.2</v>
      </c>
      <c r="J27" s="9">
        <f t="shared" si="1"/>
        <v>23040</v>
      </c>
    </row>
    <row r="28" spans="1:10" ht="39.950000000000003" customHeight="1" x14ac:dyDescent="0.25">
      <c r="A28" s="124"/>
      <c r="B28" s="6" t="s">
        <v>304</v>
      </c>
      <c r="C28" s="36" t="s">
        <v>186</v>
      </c>
      <c r="D28" s="36" t="s">
        <v>55</v>
      </c>
      <c r="E28" s="36" t="s">
        <v>31</v>
      </c>
      <c r="F28" s="36" t="s">
        <v>15</v>
      </c>
      <c r="G28" s="36" t="s">
        <v>311</v>
      </c>
      <c r="H28" s="9">
        <v>38400</v>
      </c>
      <c r="I28" s="8">
        <v>0.2</v>
      </c>
      <c r="J28" s="9">
        <f t="shared" si="1"/>
        <v>30720</v>
      </c>
    </row>
    <row r="29" spans="1:10" ht="39.950000000000003" customHeight="1" x14ac:dyDescent="0.25">
      <c r="A29" s="124"/>
      <c r="B29" s="6" t="s">
        <v>305</v>
      </c>
      <c r="C29" s="36" t="s">
        <v>64</v>
      </c>
      <c r="D29" s="36" t="s">
        <v>55</v>
      </c>
      <c r="E29" s="36" t="s">
        <v>31</v>
      </c>
      <c r="F29" s="36" t="s">
        <v>15</v>
      </c>
      <c r="G29" s="36" t="s">
        <v>311</v>
      </c>
      <c r="H29" s="9">
        <v>39600</v>
      </c>
      <c r="I29" s="8">
        <v>0.2</v>
      </c>
      <c r="J29" s="9">
        <f t="shared" si="1"/>
        <v>31680</v>
      </c>
    </row>
    <row r="30" spans="1:10" ht="39.950000000000003" customHeight="1" x14ac:dyDescent="0.25">
      <c r="A30" s="124"/>
      <c r="B30" s="6" t="s">
        <v>306</v>
      </c>
      <c r="C30" s="36" t="s">
        <v>218</v>
      </c>
      <c r="D30" s="36" t="s">
        <v>56</v>
      </c>
      <c r="E30" s="36" t="s">
        <v>31</v>
      </c>
      <c r="F30" s="36" t="s">
        <v>15</v>
      </c>
      <c r="G30" s="36" t="s">
        <v>311</v>
      </c>
      <c r="H30" s="9">
        <v>39600</v>
      </c>
      <c r="I30" s="8">
        <v>0.2</v>
      </c>
      <c r="J30" s="9">
        <f t="shared" si="1"/>
        <v>31680</v>
      </c>
    </row>
    <row r="31" spans="1:10" ht="39.950000000000003" customHeight="1" x14ac:dyDescent="0.25">
      <c r="A31" s="124"/>
      <c r="B31" s="6" t="s">
        <v>307</v>
      </c>
      <c r="C31" s="36" t="s">
        <v>67</v>
      </c>
      <c r="D31" s="36" t="s">
        <v>56</v>
      </c>
      <c r="E31" s="36" t="s">
        <v>31</v>
      </c>
      <c r="F31" s="36" t="s">
        <v>15</v>
      </c>
      <c r="G31" s="36" t="s">
        <v>312</v>
      </c>
      <c r="H31" s="9">
        <v>75000</v>
      </c>
      <c r="I31" s="8">
        <v>0.2</v>
      </c>
      <c r="J31" s="9">
        <f t="shared" si="1"/>
        <v>60000</v>
      </c>
    </row>
    <row r="32" spans="1:10" ht="39.950000000000003" customHeight="1" x14ac:dyDescent="0.25">
      <c r="A32" s="124"/>
      <c r="B32" s="6" t="s">
        <v>308</v>
      </c>
      <c r="C32" s="36" t="s">
        <v>109</v>
      </c>
      <c r="D32" s="36" t="s">
        <v>56</v>
      </c>
      <c r="E32" s="36" t="s">
        <v>31</v>
      </c>
      <c r="F32" s="36" t="s">
        <v>15</v>
      </c>
      <c r="G32" s="36" t="s">
        <v>312</v>
      </c>
      <c r="H32" s="9">
        <v>76800</v>
      </c>
      <c r="I32" s="8">
        <v>0.2</v>
      </c>
      <c r="J32" s="9">
        <f t="shared" si="1"/>
        <v>61440</v>
      </c>
    </row>
    <row r="33" spans="1:10" ht="39.950000000000003" customHeight="1" x14ac:dyDescent="0.25">
      <c r="A33" s="124"/>
      <c r="B33" s="6" t="s">
        <v>309</v>
      </c>
      <c r="C33" s="36" t="s">
        <v>310</v>
      </c>
      <c r="D33" s="36" t="s">
        <v>56</v>
      </c>
      <c r="E33" s="36" t="s">
        <v>31</v>
      </c>
      <c r="F33" s="36" t="s">
        <v>15</v>
      </c>
      <c r="G33" s="36" t="s">
        <v>312</v>
      </c>
      <c r="H33" s="9">
        <v>84000</v>
      </c>
      <c r="I33" s="8">
        <v>0.2</v>
      </c>
      <c r="J33" s="9">
        <f t="shared" si="1"/>
        <v>67200</v>
      </c>
    </row>
    <row r="34" spans="1:10" ht="20.100000000000001" customHeight="1" x14ac:dyDescent="0.25">
      <c r="A34" s="131"/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ht="60" customHeight="1" x14ac:dyDescent="0.25">
      <c r="A35" s="129" t="s">
        <v>1684</v>
      </c>
      <c r="B35" s="130"/>
      <c r="C35" s="130"/>
      <c r="D35" s="130"/>
      <c r="E35" s="130"/>
      <c r="F35" s="130"/>
      <c r="G35" s="130"/>
      <c r="H35" s="130"/>
      <c r="I35" s="130"/>
      <c r="J35" s="130"/>
    </row>
    <row r="36" spans="1:10" ht="30" customHeight="1" x14ac:dyDescent="0.25">
      <c r="A36" s="36"/>
      <c r="B36" s="37" t="s">
        <v>2</v>
      </c>
      <c r="C36" s="4" t="s">
        <v>48</v>
      </c>
      <c r="D36" s="4" t="s">
        <v>49</v>
      </c>
      <c r="E36" s="37" t="s">
        <v>9</v>
      </c>
      <c r="F36" s="37" t="s">
        <v>10</v>
      </c>
      <c r="G36" s="4" t="s">
        <v>11</v>
      </c>
      <c r="H36" s="4" t="s">
        <v>17</v>
      </c>
      <c r="I36" s="4" t="s">
        <v>12</v>
      </c>
      <c r="J36" s="4" t="s">
        <v>18</v>
      </c>
    </row>
    <row r="37" spans="1:10" ht="20.100000000000001" customHeight="1" x14ac:dyDescent="0.25">
      <c r="A37" s="124"/>
      <c r="B37" s="37" t="s">
        <v>1115</v>
      </c>
      <c r="C37" s="36" t="s">
        <v>50</v>
      </c>
      <c r="D37" s="36" t="s">
        <v>53</v>
      </c>
      <c r="E37" s="36" t="s">
        <v>14</v>
      </c>
      <c r="F37" s="36" t="s">
        <v>15</v>
      </c>
      <c r="G37" s="36" t="s">
        <v>298</v>
      </c>
      <c r="H37" s="9">
        <v>98400</v>
      </c>
      <c r="I37" s="8">
        <v>0.1</v>
      </c>
      <c r="J37" s="9">
        <f t="shared" ref="J37:J48" si="2">CEILING(H37*0.9,10)</f>
        <v>88560</v>
      </c>
    </row>
    <row r="38" spans="1:10" ht="20.100000000000001" customHeight="1" x14ac:dyDescent="0.25">
      <c r="A38" s="124"/>
      <c r="B38" s="37" t="s">
        <v>1114</v>
      </c>
      <c r="C38" s="36" t="s">
        <v>50</v>
      </c>
      <c r="D38" s="36" t="s">
        <v>53</v>
      </c>
      <c r="E38" s="36" t="s">
        <v>14</v>
      </c>
      <c r="F38" s="36" t="s">
        <v>15</v>
      </c>
      <c r="G38" s="36" t="s">
        <v>298</v>
      </c>
      <c r="H38" s="9">
        <v>110400</v>
      </c>
      <c r="I38" s="8">
        <v>0.1</v>
      </c>
      <c r="J38" s="9">
        <f t="shared" si="2"/>
        <v>99360</v>
      </c>
    </row>
    <row r="39" spans="1:10" ht="20.100000000000001" customHeight="1" x14ac:dyDescent="0.25">
      <c r="A39" s="124"/>
      <c r="B39" s="37" t="s">
        <v>1116</v>
      </c>
      <c r="C39" s="36" t="s">
        <v>50</v>
      </c>
      <c r="D39" s="36" t="s">
        <v>53</v>
      </c>
      <c r="E39" s="36" t="s">
        <v>14</v>
      </c>
      <c r="F39" s="36" t="s">
        <v>15</v>
      </c>
      <c r="G39" s="36" t="s">
        <v>298</v>
      </c>
      <c r="H39" s="9">
        <v>114000</v>
      </c>
      <c r="I39" s="8">
        <v>0.1</v>
      </c>
      <c r="J39" s="9">
        <f t="shared" si="2"/>
        <v>102600</v>
      </c>
    </row>
    <row r="40" spans="1:10" ht="20.100000000000001" customHeight="1" x14ac:dyDescent="0.25">
      <c r="A40" s="124"/>
      <c r="B40" s="37" t="s">
        <v>1118</v>
      </c>
      <c r="C40" s="36" t="s">
        <v>51</v>
      </c>
      <c r="D40" s="36" t="s">
        <v>53</v>
      </c>
      <c r="E40" s="36" t="s">
        <v>14</v>
      </c>
      <c r="F40" s="36" t="s">
        <v>15</v>
      </c>
      <c r="G40" s="36" t="s">
        <v>298</v>
      </c>
      <c r="H40" s="9">
        <v>105600</v>
      </c>
      <c r="I40" s="8">
        <v>0.1</v>
      </c>
      <c r="J40" s="9">
        <f t="shared" si="2"/>
        <v>95040</v>
      </c>
    </row>
    <row r="41" spans="1:10" ht="20.100000000000001" customHeight="1" x14ac:dyDescent="0.25">
      <c r="A41" s="124"/>
      <c r="B41" s="37" t="s">
        <v>1117</v>
      </c>
      <c r="C41" s="36" t="s">
        <v>51</v>
      </c>
      <c r="D41" s="36" t="s">
        <v>53</v>
      </c>
      <c r="E41" s="36" t="s">
        <v>14</v>
      </c>
      <c r="F41" s="36" t="s">
        <v>15</v>
      </c>
      <c r="G41" s="36" t="s">
        <v>298</v>
      </c>
      <c r="H41" s="9">
        <v>111600</v>
      </c>
      <c r="I41" s="8">
        <v>0.1</v>
      </c>
      <c r="J41" s="9">
        <f t="shared" si="2"/>
        <v>100440</v>
      </c>
    </row>
    <row r="42" spans="1:10" ht="20.100000000000001" customHeight="1" x14ac:dyDescent="0.25">
      <c r="A42" s="124"/>
      <c r="B42" s="37" t="s">
        <v>1119</v>
      </c>
      <c r="C42" s="36" t="s">
        <v>51</v>
      </c>
      <c r="D42" s="36" t="s">
        <v>53</v>
      </c>
      <c r="E42" s="36" t="s">
        <v>14</v>
      </c>
      <c r="F42" s="36" t="s">
        <v>15</v>
      </c>
      <c r="G42" s="36" t="s">
        <v>298</v>
      </c>
      <c r="H42" s="9">
        <v>118800</v>
      </c>
      <c r="I42" s="8">
        <v>0.1</v>
      </c>
      <c r="J42" s="9">
        <f t="shared" si="2"/>
        <v>106920</v>
      </c>
    </row>
    <row r="43" spans="1:10" ht="20.100000000000001" customHeight="1" x14ac:dyDescent="0.25">
      <c r="A43" s="124"/>
      <c r="B43" s="37" t="s">
        <v>1121</v>
      </c>
      <c r="C43" s="36" t="s">
        <v>290</v>
      </c>
      <c r="D43" s="36" t="s">
        <v>53</v>
      </c>
      <c r="E43" s="36" t="s">
        <v>14</v>
      </c>
      <c r="F43" s="36" t="s">
        <v>15</v>
      </c>
      <c r="G43" s="36" t="s">
        <v>298</v>
      </c>
      <c r="H43" s="9">
        <v>110400</v>
      </c>
      <c r="I43" s="8">
        <v>0.1</v>
      </c>
      <c r="J43" s="9">
        <f t="shared" si="2"/>
        <v>99360</v>
      </c>
    </row>
    <row r="44" spans="1:10" ht="20.100000000000001" customHeight="1" x14ac:dyDescent="0.25">
      <c r="A44" s="124"/>
      <c r="B44" s="37" t="s">
        <v>1120</v>
      </c>
      <c r="C44" s="36" t="s">
        <v>290</v>
      </c>
      <c r="D44" s="36" t="s">
        <v>53</v>
      </c>
      <c r="E44" s="36" t="s">
        <v>14</v>
      </c>
      <c r="F44" s="36" t="s">
        <v>15</v>
      </c>
      <c r="G44" s="36" t="s">
        <v>298</v>
      </c>
      <c r="H44" s="9">
        <v>112100</v>
      </c>
      <c r="I44" s="8">
        <v>0.1</v>
      </c>
      <c r="J44" s="9">
        <f t="shared" si="2"/>
        <v>100890</v>
      </c>
    </row>
    <row r="45" spans="1:10" ht="20.100000000000001" customHeight="1" x14ac:dyDescent="0.25">
      <c r="A45" s="124"/>
      <c r="B45" s="37" t="s">
        <v>1122</v>
      </c>
      <c r="C45" s="36" t="s">
        <v>290</v>
      </c>
      <c r="D45" s="36" t="s">
        <v>53</v>
      </c>
      <c r="E45" s="36" t="s">
        <v>14</v>
      </c>
      <c r="F45" s="36" t="s">
        <v>15</v>
      </c>
      <c r="G45" s="36" t="s">
        <v>298</v>
      </c>
      <c r="H45" s="9">
        <v>123600</v>
      </c>
      <c r="I45" s="8">
        <v>0.1</v>
      </c>
      <c r="J45" s="9">
        <f t="shared" si="2"/>
        <v>111240</v>
      </c>
    </row>
    <row r="46" spans="1:10" ht="20.100000000000001" customHeight="1" x14ac:dyDescent="0.25">
      <c r="A46" s="124"/>
      <c r="B46" s="37" t="s">
        <v>1124</v>
      </c>
      <c r="C46" s="36" t="s">
        <v>291</v>
      </c>
      <c r="D46" s="36" t="s">
        <v>53</v>
      </c>
      <c r="E46" s="36" t="s">
        <v>14</v>
      </c>
      <c r="F46" s="36" t="s">
        <v>15</v>
      </c>
      <c r="G46" s="36" t="s">
        <v>298</v>
      </c>
      <c r="H46" s="9">
        <v>123600</v>
      </c>
      <c r="I46" s="8">
        <v>0.1</v>
      </c>
      <c r="J46" s="9">
        <f t="shared" si="2"/>
        <v>111240</v>
      </c>
    </row>
    <row r="47" spans="1:10" ht="20.100000000000001" customHeight="1" x14ac:dyDescent="0.25">
      <c r="A47" s="124"/>
      <c r="B47" s="37" t="s">
        <v>1123</v>
      </c>
      <c r="C47" s="36" t="s">
        <v>291</v>
      </c>
      <c r="D47" s="36" t="s">
        <v>53</v>
      </c>
      <c r="E47" s="36" t="s">
        <v>14</v>
      </c>
      <c r="F47" s="36" t="s">
        <v>15</v>
      </c>
      <c r="G47" s="36" t="s">
        <v>298</v>
      </c>
      <c r="H47" s="9">
        <v>129600</v>
      </c>
      <c r="I47" s="8">
        <v>0.1</v>
      </c>
      <c r="J47" s="9">
        <f t="shared" si="2"/>
        <v>116640</v>
      </c>
    </row>
    <row r="48" spans="1:10" ht="20.100000000000001" customHeight="1" x14ac:dyDescent="0.25">
      <c r="A48" s="124"/>
      <c r="B48" s="37" t="s">
        <v>1125</v>
      </c>
      <c r="C48" s="36" t="s">
        <v>291</v>
      </c>
      <c r="D48" s="36" t="s">
        <v>53</v>
      </c>
      <c r="E48" s="36" t="s">
        <v>14</v>
      </c>
      <c r="F48" s="36" t="s">
        <v>15</v>
      </c>
      <c r="G48" s="36" t="s">
        <v>298</v>
      </c>
      <c r="H48" s="9">
        <v>141600</v>
      </c>
      <c r="I48" s="8">
        <v>0.1</v>
      </c>
      <c r="J48" s="9">
        <f t="shared" si="2"/>
        <v>127440</v>
      </c>
    </row>
    <row r="49" spans="1:10" ht="20.100000000000001" customHeight="1" x14ac:dyDescent="0.25">
      <c r="A49" s="143"/>
      <c r="B49" s="143"/>
      <c r="C49" s="143"/>
      <c r="D49" s="143"/>
      <c r="E49" s="143"/>
      <c r="F49" s="143"/>
      <c r="G49" s="143"/>
      <c r="H49" s="143"/>
      <c r="I49" s="143"/>
      <c r="J49" s="143"/>
    </row>
    <row r="50" spans="1:10" ht="60" customHeight="1" x14ac:dyDescent="0.25">
      <c r="A50" s="129" t="s">
        <v>1685</v>
      </c>
      <c r="B50" s="130"/>
      <c r="C50" s="130"/>
      <c r="D50" s="130"/>
      <c r="E50" s="130"/>
      <c r="F50" s="130"/>
      <c r="G50" s="130"/>
      <c r="H50" s="130"/>
      <c r="I50" s="130"/>
      <c r="J50" s="130"/>
    </row>
    <row r="51" spans="1:10" ht="30" customHeight="1" x14ac:dyDescent="0.25">
      <c r="A51" s="36"/>
      <c r="B51" s="37" t="s">
        <v>2</v>
      </c>
      <c r="C51" s="4" t="s">
        <v>48</v>
      </c>
      <c r="D51" s="4" t="s">
        <v>49</v>
      </c>
      <c r="E51" s="37" t="s">
        <v>9</v>
      </c>
      <c r="F51" s="37" t="s">
        <v>10</v>
      </c>
      <c r="G51" s="4" t="s">
        <v>11</v>
      </c>
      <c r="H51" s="4" t="s">
        <v>17</v>
      </c>
      <c r="I51" s="4" t="s">
        <v>12</v>
      </c>
      <c r="J51" s="4" t="s">
        <v>18</v>
      </c>
    </row>
    <row r="52" spans="1:10" ht="30" customHeight="1" x14ac:dyDescent="0.25">
      <c r="A52" s="124"/>
      <c r="B52" s="37" t="s">
        <v>1126</v>
      </c>
      <c r="C52" s="36" t="s">
        <v>234</v>
      </c>
      <c r="D52" s="36" t="s">
        <v>54</v>
      </c>
      <c r="E52" s="36" t="s">
        <v>14</v>
      </c>
      <c r="F52" s="36" t="s">
        <v>15</v>
      </c>
      <c r="G52" s="36" t="s">
        <v>135</v>
      </c>
      <c r="H52" s="9">
        <v>123600</v>
      </c>
      <c r="I52" s="8">
        <v>0.1</v>
      </c>
      <c r="J52" s="9">
        <f>CEILING(H52*0.9,10)</f>
        <v>111240</v>
      </c>
    </row>
    <row r="53" spans="1:10" ht="30" customHeight="1" x14ac:dyDescent="0.25">
      <c r="A53" s="124"/>
      <c r="B53" s="37" t="s">
        <v>1127</v>
      </c>
      <c r="C53" s="36" t="s">
        <v>234</v>
      </c>
      <c r="D53" s="36" t="s">
        <v>54</v>
      </c>
      <c r="E53" s="36" t="s">
        <v>14</v>
      </c>
      <c r="F53" s="36" t="s">
        <v>15</v>
      </c>
      <c r="G53" s="36" t="s">
        <v>135</v>
      </c>
      <c r="H53" s="9">
        <v>130800</v>
      </c>
      <c r="I53" s="8">
        <v>0.1</v>
      </c>
      <c r="J53" s="9">
        <f>CEILING(H53*0.9,10)</f>
        <v>117720</v>
      </c>
    </row>
    <row r="54" spans="1:10" ht="30" customHeight="1" x14ac:dyDescent="0.25">
      <c r="A54" s="124"/>
      <c r="B54" s="37" t="s">
        <v>1128</v>
      </c>
      <c r="C54" s="36" t="s">
        <v>63</v>
      </c>
      <c r="D54" s="36" t="s">
        <v>54</v>
      </c>
      <c r="E54" s="36" t="s">
        <v>14</v>
      </c>
      <c r="F54" s="36" t="s">
        <v>15</v>
      </c>
      <c r="G54" s="36" t="s">
        <v>135</v>
      </c>
      <c r="H54" s="9">
        <v>129600</v>
      </c>
      <c r="I54" s="8">
        <v>0.1</v>
      </c>
      <c r="J54" s="9">
        <f>CEILING(H54*0.9,10)</f>
        <v>116640</v>
      </c>
    </row>
    <row r="55" spans="1:10" ht="30" customHeight="1" x14ac:dyDescent="0.25">
      <c r="A55" s="124"/>
      <c r="B55" s="37" t="s">
        <v>1388</v>
      </c>
      <c r="C55" s="36" t="s">
        <v>63</v>
      </c>
      <c r="D55" s="36" t="s">
        <v>54</v>
      </c>
      <c r="E55" s="36" t="s">
        <v>14</v>
      </c>
      <c r="F55" s="36" t="s">
        <v>15</v>
      </c>
      <c r="G55" s="36" t="s">
        <v>135</v>
      </c>
      <c r="H55" s="9">
        <v>141600</v>
      </c>
      <c r="I55" s="8">
        <v>0.1</v>
      </c>
      <c r="J55" s="9">
        <f>CEILING(H55*0.9,10)</f>
        <v>127440</v>
      </c>
    </row>
  </sheetData>
  <mergeCells count="11">
    <mergeCell ref="A1:J1"/>
    <mergeCell ref="A3:A19"/>
    <mergeCell ref="A20:J20"/>
    <mergeCell ref="A21:J21"/>
    <mergeCell ref="A50:J50"/>
    <mergeCell ref="A52:A55"/>
    <mergeCell ref="A23:A33"/>
    <mergeCell ref="A34:J34"/>
    <mergeCell ref="A35:J35"/>
    <mergeCell ref="A37:A48"/>
    <mergeCell ref="A49:J49"/>
  </mergeCells>
  <hyperlinks>
    <hyperlink ref="B7" r:id="rId1"/>
    <hyperlink ref="B3" r:id="rId2"/>
    <hyperlink ref="B10" r:id="rId3"/>
    <hyperlink ref="B4" r:id="rId4"/>
    <hyperlink ref="B8" r:id="rId5"/>
    <hyperlink ref="B5" r:id="rId6"/>
    <hyperlink ref="B9" r:id="rId7"/>
    <hyperlink ref="B6" r:id="rId8"/>
    <hyperlink ref="B11" r:id="rId9"/>
    <hyperlink ref="B12" r:id="rId10"/>
    <hyperlink ref="B13" r:id="rId11"/>
    <hyperlink ref="B15" r:id="rId12"/>
    <hyperlink ref="B16" r:id="rId13"/>
    <hyperlink ref="B17" r:id="rId14"/>
    <hyperlink ref="B18" r:id="rId15"/>
    <hyperlink ref="B19" r:id="rId16"/>
    <hyperlink ref="B27" r:id="rId17"/>
    <hyperlink ref="B23" r:id="rId18"/>
    <hyperlink ref="B24" r:id="rId19"/>
    <hyperlink ref="B25" r:id="rId20"/>
    <hyperlink ref="B26" r:id="rId21"/>
    <hyperlink ref="B28" r:id="rId22"/>
    <hyperlink ref="B29" r:id="rId23"/>
    <hyperlink ref="B30" r:id="rId24"/>
    <hyperlink ref="B31" r:id="rId25"/>
    <hyperlink ref="B32" r:id="rId26"/>
    <hyperlink ref="B33" r:id="rId27"/>
  </hyperlinks>
  <pageMargins left="0.7" right="0.7" top="0.75" bottom="0.75" header="0.3" footer="0.3"/>
  <pageSetup paperSize="9" orientation="portrait" r:id="rId28"/>
  <drawing r:id="rId2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90" zoomScaleNormal="90" workbookViewId="0">
      <selection activeCell="C3" sqref="C3"/>
    </sheetView>
  </sheetViews>
  <sheetFormatPr defaultRowHeight="13.5" x14ac:dyDescent="0.25"/>
  <cols>
    <col min="1" max="1" width="23.28515625" style="1" customWidth="1"/>
    <col min="2" max="2" width="15.7109375" style="1" customWidth="1"/>
    <col min="3" max="4" width="20.7109375" style="1" customWidth="1"/>
    <col min="5" max="5" width="18" style="1" customWidth="1"/>
    <col min="6" max="6" width="17.5703125" style="1" customWidth="1"/>
    <col min="7" max="7" width="15.42578125" style="1" customWidth="1"/>
    <col min="8" max="10" width="15.7109375" style="1" customWidth="1"/>
    <col min="11" max="16384" width="9.140625" style="1"/>
  </cols>
  <sheetData>
    <row r="1" spans="1:10" ht="30" customHeight="1" x14ac:dyDescent="0.25">
      <c r="A1" s="118" t="s">
        <v>990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 x14ac:dyDescent="0.25">
      <c r="A2" s="5"/>
      <c r="B2" s="3" t="s">
        <v>2</v>
      </c>
      <c r="C2" s="4" t="s">
        <v>48</v>
      </c>
      <c r="D2" s="4" t="s">
        <v>49</v>
      </c>
      <c r="E2" s="3" t="s">
        <v>9</v>
      </c>
      <c r="F2" s="3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0" ht="24.95" customHeight="1" x14ac:dyDescent="0.25">
      <c r="A3" s="124"/>
      <c r="B3" s="6" t="s">
        <v>991</v>
      </c>
      <c r="C3" s="5" t="s">
        <v>72</v>
      </c>
      <c r="D3" s="5" t="s">
        <v>539</v>
      </c>
      <c r="E3" s="5" t="s">
        <v>273</v>
      </c>
      <c r="F3" s="5" t="s">
        <v>13</v>
      </c>
      <c r="G3" s="15" t="s">
        <v>626</v>
      </c>
      <c r="H3" s="31">
        <v>10770</v>
      </c>
      <c r="I3" s="8">
        <v>0.1</v>
      </c>
      <c r="J3" s="9">
        <f t="shared" ref="J3:J8" si="0">CEILING(H3*0.9,10)</f>
        <v>9700</v>
      </c>
    </row>
    <row r="4" spans="1:10" ht="24.95" customHeight="1" x14ac:dyDescent="0.25">
      <c r="A4" s="124"/>
      <c r="B4" s="6" t="s">
        <v>992</v>
      </c>
      <c r="C4" s="5" t="s">
        <v>589</v>
      </c>
      <c r="D4" s="5" t="s">
        <v>786</v>
      </c>
      <c r="E4" s="5" t="s">
        <v>273</v>
      </c>
      <c r="F4" s="5" t="s">
        <v>13</v>
      </c>
      <c r="G4" s="15" t="s">
        <v>626</v>
      </c>
      <c r="H4" s="31">
        <v>10770</v>
      </c>
      <c r="I4" s="8">
        <v>0.1</v>
      </c>
      <c r="J4" s="9">
        <f t="shared" si="0"/>
        <v>9700</v>
      </c>
    </row>
    <row r="5" spans="1:10" ht="24.95" customHeight="1" x14ac:dyDescent="0.25">
      <c r="A5" s="124"/>
      <c r="B5" s="6" t="s">
        <v>993</v>
      </c>
      <c r="C5" s="5" t="s">
        <v>589</v>
      </c>
      <c r="D5" s="5" t="s">
        <v>786</v>
      </c>
      <c r="E5" s="5" t="s">
        <v>273</v>
      </c>
      <c r="F5" s="5" t="s">
        <v>13</v>
      </c>
      <c r="G5" s="15" t="s">
        <v>997</v>
      </c>
      <c r="H5" s="31">
        <v>13110</v>
      </c>
      <c r="I5" s="8">
        <v>0.1</v>
      </c>
      <c r="J5" s="9">
        <f t="shared" si="0"/>
        <v>11800</v>
      </c>
    </row>
    <row r="6" spans="1:10" ht="24.95" customHeight="1" x14ac:dyDescent="0.25">
      <c r="A6" s="124"/>
      <c r="B6" s="6" t="s">
        <v>994</v>
      </c>
      <c r="C6" s="5" t="s">
        <v>628</v>
      </c>
      <c r="D6" s="5" t="s">
        <v>791</v>
      </c>
      <c r="E6" s="5" t="s">
        <v>273</v>
      </c>
      <c r="F6" s="5" t="s">
        <v>13</v>
      </c>
      <c r="G6" s="15" t="s">
        <v>997</v>
      </c>
      <c r="H6" s="31">
        <v>13110</v>
      </c>
      <c r="I6" s="8">
        <v>0.1</v>
      </c>
      <c r="J6" s="9">
        <f t="shared" si="0"/>
        <v>11800</v>
      </c>
    </row>
    <row r="7" spans="1:10" ht="24.95" customHeight="1" x14ac:dyDescent="0.25">
      <c r="A7" s="124"/>
      <c r="B7" s="6" t="s">
        <v>995</v>
      </c>
      <c r="C7" s="5" t="s">
        <v>628</v>
      </c>
      <c r="D7" s="5" t="s">
        <v>791</v>
      </c>
      <c r="E7" s="5" t="s">
        <v>273</v>
      </c>
      <c r="F7" s="5" t="s">
        <v>13</v>
      </c>
      <c r="G7" s="15" t="s">
        <v>880</v>
      </c>
      <c r="H7" s="31">
        <v>17800</v>
      </c>
      <c r="I7" s="8">
        <v>0.1</v>
      </c>
      <c r="J7" s="9">
        <f t="shared" si="0"/>
        <v>16020</v>
      </c>
    </row>
    <row r="8" spans="1:10" ht="24.95" customHeight="1" x14ac:dyDescent="0.25">
      <c r="A8" s="124"/>
      <c r="B8" s="6" t="s">
        <v>996</v>
      </c>
      <c r="C8" s="5" t="s">
        <v>785</v>
      </c>
      <c r="D8" s="5" t="s">
        <v>241</v>
      </c>
      <c r="E8" s="5" t="s">
        <v>273</v>
      </c>
      <c r="F8" s="5" t="s">
        <v>13</v>
      </c>
      <c r="G8" s="15" t="s">
        <v>880</v>
      </c>
      <c r="H8" s="31">
        <v>17800</v>
      </c>
      <c r="I8" s="8">
        <v>0.1</v>
      </c>
      <c r="J8" s="9">
        <f t="shared" si="0"/>
        <v>16020</v>
      </c>
    </row>
    <row r="9" spans="1:10" ht="20.100000000000001" customHeight="1" x14ac:dyDescent="0.25">
      <c r="A9" s="143"/>
      <c r="B9" s="143"/>
      <c r="C9" s="143"/>
      <c r="D9" s="143"/>
      <c r="E9" s="143"/>
      <c r="F9" s="143"/>
      <c r="G9" s="143"/>
      <c r="H9" s="143"/>
      <c r="I9" s="143"/>
      <c r="J9" s="143"/>
    </row>
    <row r="10" spans="1:10" ht="30" customHeight="1" x14ac:dyDescent="0.25">
      <c r="A10" s="118" t="s">
        <v>998</v>
      </c>
      <c r="B10" s="118"/>
      <c r="C10" s="118"/>
      <c r="D10" s="118"/>
      <c r="E10" s="118"/>
      <c r="F10" s="118"/>
      <c r="G10" s="118"/>
      <c r="H10" s="118"/>
      <c r="I10" s="118"/>
      <c r="J10" s="118"/>
    </row>
    <row r="11" spans="1:10" ht="30" customHeight="1" x14ac:dyDescent="0.25">
      <c r="A11" s="5"/>
      <c r="B11" s="3" t="s">
        <v>2</v>
      </c>
      <c r="C11" s="4" t="s">
        <v>48</v>
      </c>
      <c r="D11" s="4" t="s">
        <v>49</v>
      </c>
      <c r="E11" s="3" t="s">
        <v>9</v>
      </c>
      <c r="F11" s="3" t="s">
        <v>10</v>
      </c>
      <c r="G11" s="4" t="s">
        <v>11</v>
      </c>
      <c r="H11" s="4" t="s">
        <v>17</v>
      </c>
      <c r="I11" s="4" t="s">
        <v>12</v>
      </c>
      <c r="J11" s="4" t="s">
        <v>18</v>
      </c>
    </row>
    <row r="12" spans="1:10" ht="24.95" customHeight="1" x14ac:dyDescent="0.25">
      <c r="A12" s="124"/>
      <c r="B12" s="6" t="s">
        <v>999</v>
      </c>
      <c r="C12" s="5" t="s">
        <v>72</v>
      </c>
      <c r="D12" s="5" t="s">
        <v>539</v>
      </c>
      <c r="E12" s="5" t="s">
        <v>273</v>
      </c>
      <c r="F12" s="5" t="s">
        <v>13</v>
      </c>
      <c r="G12" s="15" t="s">
        <v>626</v>
      </c>
      <c r="H12" s="31">
        <v>39060</v>
      </c>
      <c r="I12" s="8">
        <v>0.2</v>
      </c>
      <c r="J12" s="9">
        <f t="shared" ref="J12:J17" si="1">CEILING(H12*0.8,10)</f>
        <v>31250</v>
      </c>
    </row>
    <row r="13" spans="1:10" ht="24.95" customHeight="1" x14ac:dyDescent="0.25">
      <c r="A13" s="124"/>
      <c r="B13" s="6" t="s">
        <v>1000</v>
      </c>
      <c r="C13" s="5" t="s">
        <v>589</v>
      </c>
      <c r="D13" s="5" t="s">
        <v>786</v>
      </c>
      <c r="E13" s="5" t="s">
        <v>273</v>
      </c>
      <c r="F13" s="5" t="s">
        <v>13</v>
      </c>
      <c r="G13" s="15" t="s">
        <v>626</v>
      </c>
      <c r="H13" s="31">
        <v>39060</v>
      </c>
      <c r="I13" s="8">
        <v>0.2</v>
      </c>
      <c r="J13" s="9">
        <f t="shared" si="1"/>
        <v>31250</v>
      </c>
    </row>
    <row r="14" spans="1:10" ht="24.95" customHeight="1" x14ac:dyDescent="0.25">
      <c r="A14" s="124"/>
      <c r="B14" s="6" t="s">
        <v>1001</v>
      </c>
      <c r="C14" s="5" t="s">
        <v>589</v>
      </c>
      <c r="D14" s="5" t="s">
        <v>786</v>
      </c>
      <c r="E14" s="5" t="s">
        <v>273</v>
      </c>
      <c r="F14" s="5" t="s">
        <v>13</v>
      </c>
      <c r="G14" s="15" t="s">
        <v>997</v>
      </c>
      <c r="H14" s="31">
        <v>56340</v>
      </c>
      <c r="I14" s="8">
        <v>0.2</v>
      </c>
      <c r="J14" s="9">
        <f t="shared" si="1"/>
        <v>45080</v>
      </c>
    </row>
    <row r="15" spans="1:10" ht="24.95" customHeight="1" x14ac:dyDescent="0.25">
      <c r="A15" s="124"/>
      <c r="B15" s="6" t="s">
        <v>1002</v>
      </c>
      <c r="C15" s="5" t="s">
        <v>628</v>
      </c>
      <c r="D15" s="5" t="s">
        <v>791</v>
      </c>
      <c r="E15" s="5" t="s">
        <v>273</v>
      </c>
      <c r="F15" s="5" t="s">
        <v>13</v>
      </c>
      <c r="G15" s="15" t="s">
        <v>997</v>
      </c>
      <c r="H15" s="31">
        <v>56340</v>
      </c>
      <c r="I15" s="8">
        <v>0.2</v>
      </c>
      <c r="J15" s="9">
        <f t="shared" si="1"/>
        <v>45080</v>
      </c>
    </row>
    <row r="16" spans="1:10" ht="24.95" customHeight="1" x14ac:dyDescent="0.25">
      <c r="A16" s="124"/>
      <c r="B16" s="6" t="s">
        <v>1003</v>
      </c>
      <c r="C16" s="5" t="s">
        <v>628</v>
      </c>
      <c r="D16" s="5" t="s">
        <v>791</v>
      </c>
      <c r="E16" s="5" t="s">
        <v>273</v>
      </c>
      <c r="F16" s="5" t="s">
        <v>13</v>
      </c>
      <c r="G16" s="15" t="s">
        <v>880</v>
      </c>
      <c r="H16" s="31">
        <v>78660</v>
      </c>
      <c r="I16" s="8">
        <v>0.2</v>
      </c>
      <c r="J16" s="9">
        <f t="shared" si="1"/>
        <v>62930</v>
      </c>
    </row>
    <row r="17" spans="1:10" ht="24.95" customHeight="1" x14ac:dyDescent="0.25">
      <c r="A17" s="124"/>
      <c r="B17" s="6" t="s">
        <v>1004</v>
      </c>
      <c r="C17" s="5" t="s">
        <v>785</v>
      </c>
      <c r="D17" s="5" t="s">
        <v>241</v>
      </c>
      <c r="E17" s="5" t="s">
        <v>273</v>
      </c>
      <c r="F17" s="5" t="s">
        <v>13</v>
      </c>
      <c r="G17" s="15" t="s">
        <v>880</v>
      </c>
      <c r="H17" s="31">
        <v>78660</v>
      </c>
      <c r="I17" s="8">
        <v>0.2</v>
      </c>
      <c r="J17" s="9">
        <f t="shared" si="1"/>
        <v>62930</v>
      </c>
    </row>
    <row r="18" spans="1:10" ht="20.100000000000001" customHeight="1" x14ac:dyDescent="0.25">
      <c r="A18" s="143"/>
      <c r="B18" s="143"/>
      <c r="C18" s="143"/>
      <c r="D18" s="143"/>
      <c r="E18" s="143"/>
      <c r="F18" s="143"/>
      <c r="G18" s="143"/>
      <c r="H18" s="143"/>
      <c r="I18" s="143"/>
      <c r="J18" s="143"/>
    </row>
  </sheetData>
  <mergeCells count="6">
    <mergeCell ref="A9:J9"/>
    <mergeCell ref="A10:J10"/>
    <mergeCell ref="A12:A17"/>
    <mergeCell ref="A18:J18"/>
    <mergeCell ref="A1:J1"/>
    <mergeCell ref="A3:A8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12" r:id="rId7"/>
    <hyperlink ref="B13" r:id="rId8"/>
    <hyperlink ref="B14" r:id="rId9"/>
    <hyperlink ref="B15" r:id="rId10"/>
    <hyperlink ref="B16" r:id="rId11"/>
    <hyperlink ref="B17" r:id="rId12"/>
  </hyperlinks>
  <pageMargins left="0.7" right="0.7" top="0.75" bottom="0.75" header="0.3" footer="0.3"/>
  <pageSetup paperSize="9" orientation="portrait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4</vt:i4>
      </vt:variant>
    </vt:vector>
  </HeadingPairs>
  <TitlesOfParts>
    <vt:vector size="21" baseType="lpstr">
      <vt:lpstr>Курсы валют</vt:lpstr>
      <vt:lpstr>BEL</vt:lpstr>
      <vt:lpstr>ДЭМКОМ</vt:lpstr>
      <vt:lpstr>Aczet (Citizen)</vt:lpstr>
      <vt:lpstr>Ohaus</vt:lpstr>
      <vt:lpstr>Shinko (ViBRA)</vt:lpstr>
      <vt:lpstr>CAS</vt:lpstr>
      <vt:lpstr>ADAM</vt:lpstr>
      <vt:lpstr>Acom</vt:lpstr>
      <vt:lpstr>Sartorius</vt:lpstr>
      <vt:lpstr>AND</vt:lpstr>
      <vt:lpstr>Госметр</vt:lpstr>
      <vt:lpstr>МАССА-К</vt:lpstr>
      <vt:lpstr>МАС-центр</vt:lpstr>
      <vt:lpstr>Сартогосм</vt:lpstr>
      <vt:lpstr>Веста</vt:lpstr>
      <vt:lpstr>Скейл</vt:lpstr>
      <vt:lpstr>'МАС-центр'!EUR</vt:lpstr>
      <vt:lpstr>EUR</vt:lpstr>
      <vt:lpstr>'МАС-центр'!USD</vt:lpstr>
      <vt:lpstr>USD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Admin</cp:lastModifiedBy>
  <dcterms:created xsi:type="dcterms:W3CDTF">2014-04-05T16:14:03Z</dcterms:created>
  <dcterms:modified xsi:type="dcterms:W3CDTF">2019-05-28T11:40:20Z</dcterms:modified>
</cp:coreProperties>
</file>